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mart working da marzo 2020\SMART WORKING\CARENZE\PUBBLICAZIONI\"/>
    </mc:Choice>
  </mc:AlternateContent>
  <xr:revisionPtr revIDLastSave="0" documentId="8_{4E752C0F-E1AE-4372-A4C2-BBE2F6809973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Carenze" sheetId="1" r:id="rId1"/>
  </sheets>
  <calcPr calcId="191029"/>
</workbook>
</file>

<file path=xl/calcChain.xml><?xml version="1.0" encoding="utf-8"?>
<calcChain xmlns="http://schemas.openxmlformats.org/spreadsheetml/2006/main">
  <c r="B2564" i="1" l="1"/>
  <c r="B2563" i="1"/>
  <c r="B2562" i="1"/>
  <c r="B2561" i="1"/>
  <c r="B2560" i="1"/>
  <c r="B2559" i="1"/>
  <c r="B2558" i="1"/>
  <c r="B2557" i="1"/>
  <c r="B2556" i="1"/>
  <c r="B2555" i="1"/>
  <c r="B2554" i="1"/>
  <c r="B2553" i="1"/>
  <c r="B2552" i="1"/>
  <c r="B2551" i="1"/>
  <c r="B2550" i="1"/>
  <c r="B2549" i="1"/>
  <c r="B2548" i="1"/>
  <c r="B2547" i="1"/>
  <c r="B2546" i="1"/>
  <c r="B2545" i="1"/>
  <c r="B2544" i="1"/>
  <c r="B2543" i="1"/>
  <c r="B2542" i="1"/>
  <c r="B2541" i="1"/>
  <c r="B2540" i="1"/>
  <c r="B2539" i="1"/>
  <c r="B2538" i="1"/>
  <c r="B2537" i="1"/>
  <c r="B2536" i="1"/>
  <c r="B2535" i="1"/>
  <c r="B2534" i="1"/>
  <c r="B2533" i="1"/>
  <c r="B2532" i="1"/>
  <c r="B2531" i="1"/>
  <c r="B2530" i="1"/>
  <c r="B2529" i="1"/>
  <c r="B2528" i="1"/>
  <c r="B2527" i="1"/>
  <c r="B2526" i="1"/>
  <c r="B2525" i="1"/>
  <c r="B2524" i="1"/>
  <c r="B2523" i="1"/>
  <c r="B2522" i="1"/>
  <c r="B2521" i="1"/>
  <c r="B2520" i="1"/>
  <c r="B2519" i="1"/>
  <c r="B2518" i="1"/>
  <c r="B2517" i="1"/>
  <c r="B2516" i="1"/>
  <c r="B2515" i="1"/>
  <c r="B2514" i="1"/>
  <c r="B2513" i="1"/>
  <c r="B2512" i="1"/>
  <c r="B2511" i="1"/>
  <c r="B2510" i="1"/>
  <c r="B2509" i="1"/>
  <c r="B2508" i="1"/>
  <c r="B2507" i="1"/>
  <c r="B2506" i="1"/>
  <c r="B2505" i="1"/>
  <c r="B2504" i="1"/>
  <c r="B2503" i="1"/>
  <c r="B2502" i="1"/>
  <c r="B2501" i="1"/>
  <c r="B2500" i="1"/>
  <c r="B2499" i="1"/>
  <c r="B2498" i="1"/>
  <c r="B2497" i="1"/>
  <c r="B2496" i="1"/>
  <c r="B2495" i="1"/>
  <c r="B2494" i="1"/>
  <c r="B2493" i="1"/>
  <c r="B2492" i="1"/>
  <c r="B2491" i="1"/>
  <c r="B2490" i="1"/>
  <c r="B2489" i="1"/>
  <c r="B2488" i="1"/>
  <c r="B2487" i="1"/>
  <c r="B2486" i="1"/>
  <c r="B2485" i="1"/>
  <c r="B2484" i="1"/>
  <c r="B2483" i="1"/>
  <c r="B2482" i="1"/>
  <c r="B2481" i="1"/>
  <c r="B2480" i="1"/>
  <c r="B2479" i="1"/>
  <c r="B2478" i="1"/>
  <c r="B2477" i="1"/>
  <c r="B2476" i="1"/>
  <c r="B2475" i="1"/>
  <c r="B2474" i="1"/>
  <c r="B2473" i="1"/>
  <c r="B2472" i="1"/>
  <c r="B2471" i="1"/>
  <c r="B2470" i="1"/>
  <c r="B2469" i="1"/>
  <c r="B2468" i="1"/>
  <c r="B2467" i="1"/>
  <c r="B2466" i="1"/>
  <c r="B2465" i="1"/>
  <c r="B2464" i="1"/>
  <c r="B2463" i="1"/>
  <c r="B2462" i="1"/>
  <c r="B2461" i="1"/>
  <c r="B2460" i="1"/>
  <c r="B2459" i="1"/>
  <c r="B2458" i="1"/>
  <c r="B2457" i="1"/>
  <c r="B2456" i="1"/>
  <c r="B2455" i="1"/>
  <c r="B2454" i="1"/>
  <c r="B2453" i="1"/>
  <c r="B2452" i="1"/>
  <c r="B2451" i="1"/>
  <c r="B2450" i="1"/>
  <c r="B2449" i="1"/>
  <c r="B2448" i="1"/>
  <c r="B2447" i="1"/>
  <c r="B2446" i="1"/>
  <c r="B2445" i="1"/>
  <c r="B2444" i="1"/>
  <c r="B2443" i="1"/>
  <c r="B2442" i="1"/>
  <c r="B2441" i="1"/>
  <c r="B2440" i="1"/>
  <c r="B2439" i="1"/>
  <c r="B2438" i="1"/>
  <c r="B2437" i="1"/>
  <c r="B2436" i="1"/>
  <c r="B2435" i="1"/>
  <c r="B2434" i="1"/>
  <c r="B2433" i="1"/>
  <c r="B2432" i="1"/>
  <c r="B2431" i="1"/>
  <c r="B2430" i="1"/>
  <c r="B2429" i="1"/>
  <c r="B2428" i="1"/>
  <c r="B2427" i="1"/>
  <c r="B2426" i="1"/>
  <c r="B2425" i="1"/>
  <c r="B2424" i="1"/>
  <c r="B2423" i="1"/>
  <c r="B2422" i="1"/>
  <c r="B2421" i="1"/>
  <c r="B2420" i="1"/>
  <c r="B2419" i="1"/>
  <c r="B2418" i="1"/>
  <c r="B2417" i="1"/>
  <c r="B2416" i="1"/>
  <c r="B2415" i="1"/>
  <c r="B2414" i="1"/>
  <c r="B2413" i="1"/>
  <c r="B2412" i="1"/>
  <c r="B2411" i="1"/>
  <c r="B2410" i="1"/>
  <c r="B2409" i="1"/>
  <c r="B2408" i="1"/>
  <c r="B2407" i="1"/>
  <c r="B2406" i="1"/>
  <c r="B2405" i="1"/>
  <c r="B2404" i="1"/>
  <c r="B2403" i="1"/>
  <c r="B2402" i="1"/>
  <c r="B2401" i="1"/>
  <c r="B2400" i="1"/>
  <c r="B2399" i="1"/>
  <c r="B2398" i="1"/>
  <c r="B2397" i="1"/>
  <c r="B2396" i="1"/>
  <c r="B2395" i="1"/>
  <c r="B2394" i="1"/>
  <c r="B2393" i="1"/>
  <c r="B2392" i="1"/>
  <c r="B2391" i="1"/>
  <c r="B2390" i="1"/>
  <c r="B2389" i="1"/>
  <c r="B2388" i="1"/>
  <c r="B2387" i="1"/>
  <c r="B2386" i="1"/>
  <c r="B2385" i="1"/>
  <c r="B2384" i="1"/>
  <c r="B2383" i="1"/>
  <c r="B2382" i="1"/>
  <c r="B2381" i="1"/>
  <c r="B2380" i="1"/>
  <c r="B2379" i="1"/>
  <c r="B2378" i="1"/>
  <c r="B2377" i="1"/>
  <c r="B2376" i="1"/>
  <c r="B2375" i="1"/>
  <c r="B2374" i="1"/>
  <c r="B2373" i="1"/>
  <c r="B2372" i="1"/>
  <c r="B2371" i="1"/>
  <c r="B2370" i="1"/>
  <c r="B2369" i="1"/>
  <c r="B2368" i="1"/>
  <c r="B2367" i="1"/>
  <c r="B2366" i="1"/>
  <c r="B2365" i="1"/>
  <c r="B2364" i="1"/>
  <c r="B2363" i="1"/>
  <c r="B2362" i="1"/>
  <c r="B2361" i="1"/>
  <c r="B2360" i="1"/>
  <c r="B2359" i="1"/>
  <c r="B2358" i="1"/>
  <c r="B2357" i="1"/>
  <c r="B2356" i="1"/>
  <c r="B2355" i="1"/>
  <c r="B2354" i="1"/>
  <c r="B2353" i="1"/>
  <c r="B2352" i="1"/>
  <c r="B2351" i="1"/>
  <c r="B2350" i="1"/>
  <c r="B2349" i="1"/>
  <c r="B2348" i="1"/>
  <c r="B2347" i="1"/>
  <c r="B2346" i="1"/>
  <c r="B2345" i="1"/>
  <c r="B2344" i="1"/>
  <c r="B2343" i="1"/>
  <c r="B2342" i="1"/>
  <c r="B2341" i="1"/>
  <c r="B2340" i="1"/>
  <c r="B2339" i="1"/>
  <c r="B2338" i="1"/>
  <c r="B2337" i="1"/>
  <c r="B2336" i="1"/>
  <c r="B2335" i="1"/>
  <c r="B2334" i="1"/>
  <c r="B2333" i="1"/>
  <c r="B2332" i="1"/>
  <c r="B2331" i="1"/>
  <c r="B2330" i="1"/>
  <c r="B2329" i="1"/>
  <c r="B2328" i="1"/>
  <c r="B2327" i="1"/>
  <c r="B2326" i="1"/>
  <c r="B2325" i="1"/>
  <c r="B2324" i="1"/>
  <c r="B2323" i="1"/>
  <c r="B2322" i="1"/>
  <c r="B2321" i="1"/>
  <c r="B2320" i="1"/>
  <c r="B2319" i="1"/>
  <c r="B2318" i="1"/>
  <c r="B2317" i="1"/>
  <c r="B2316" i="1"/>
  <c r="B2315" i="1"/>
  <c r="B2314" i="1"/>
  <c r="B2313" i="1"/>
  <c r="B2312" i="1"/>
  <c r="B2311" i="1"/>
  <c r="B2310" i="1"/>
  <c r="B2309" i="1"/>
  <c r="B2308" i="1"/>
  <c r="B2307" i="1"/>
  <c r="B2306" i="1"/>
  <c r="B2305" i="1"/>
  <c r="B2304" i="1"/>
  <c r="B2303" i="1"/>
  <c r="B2302" i="1"/>
  <c r="B2301" i="1"/>
  <c r="B2300" i="1"/>
  <c r="B2299" i="1"/>
  <c r="B2298" i="1"/>
  <c r="B2297" i="1"/>
  <c r="B2296" i="1"/>
  <c r="B2295" i="1"/>
  <c r="B2294" i="1"/>
  <c r="B2293" i="1"/>
  <c r="B2292" i="1"/>
  <c r="B2291" i="1"/>
  <c r="B2290" i="1"/>
  <c r="B2289" i="1"/>
  <c r="B2288" i="1"/>
  <c r="B2287" i="1"/>
  <c r="B2286" i="1"/>
  <c r="B2285" i="1"/>
  <c r="B2284" i="1"/>
  <c r="B2283" i="1"/>
  <c r="B2282" i="1"/>
  <c r="B2281" i="1"/>
  <c r="B2280" i="1"/>
  <c r="B2279" i="1"/>
  <c r="B2278" i="1"/>
  <c r="B2277" i="1"/>
  <c r="B2276" i="1"/>
  <c r="B2275" i="1"/>
  <c r="B2274" i="1"/>
  <c r="B2273" i="1"/>
  <c r="B2272" i="1"/>
  <c r="B2271" i="1"/>
  <c r="B2270" i="1"/>
  <c r="B2269" i="1"/>
  <c r="B2268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2" i="1"/>
  <c r="B2251" i="1"/>
  <c r="B2250" i="1"/>
  <c r="B2249" i="1"/>
  <c r="B2248" i="1"/>
  <c r="B2247" i="1"/>
  <c r="B2246" i="1"/>
  <c r="B2245" i="1"/>
  <c r="B2244" i="1"/>
  <c r="B2243" i="1"/>
  <c r="B2242" i="1"/>
  <c r="B2241" i="1"/>
  <c r="B2240" i="1"/>
  <c r="B2239" i="1"/>
  <c r="B2238" i="1"/>
  <c r="B2237" i="1"/>
  <c r="B2236" i="1"/>
  <c r="B2235" i="1"/>
  <c r="B2234" i="1"/>
  <c r="B2233" i="1"/>
  <c r="B2232" i="1"/>
  <c r="B2231" i="1"/>
  <c r="B2230" i="1"/>
  <c r="B2229" i="1"/>
  <c r="B2228" i="1"/>
  <c r="B2227" i="1"/>
  <c r="B2226" i="1"/>
  <c r="B2225" i="1"/>
  <c r="B2224" i="1"/>
  <c r="B2223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<sst xmlns="http://schemas.openxmlformats.org/spreadsheetml/2006/main" count="17968" uniqueCount="5172">
  <si>
    <t>NB: I medicinali carenti, per i quali il Titolare AIC non abbia provveduto a comunicare la data effettiva di fine carenza, continueranno ad essere presenti nella “Lista dei farmaci temporaneamente carenti”, anche oltre la “data di fine presunta” inizialmente comunicata e indicata nella presente lista</t>
  </si>
  <si>
    <t>Elenco Medicinali Carenti Aggiornato Al 05/11/2020</t>
  </si>
  <si>
    <t>Nome medicinale</t>
  </si>
  <si>
    <t>Codice AIC</t>
  </si>
  <si>
    <t>Principio attivo</t>
  </si>
  <si>
    <t>Forma farmaceutica e dosaggio</t>
  </si>
  <si>
    <t>Titolare AIC</t>
  </si>
  <si>
    <t>Data inizio</t>
  </si>
  <si>
    <t>Fine presunta</t>
  </si>
  <si>
    <t>Equivalente</t>
  </si>
  <si>
    <t>Motivazioni</t>
  </si>
  <si>
    <t>Suggerimenti/Indicazioni AIFA</t>
  </si>
  <si>
    <t>Nota AIFA</t>
  </si>
  <si>
    <t>ABACAVIR E LAMIVUDINA ACCORD</t>
  </si>
  <si>
    <t>ABACAVIR + LAMIVUDINA</t>
  </si>
  <si>
    <t>"600 MG/300 MG COMPRESSE RIVESTITE CON FILM" 30 COMPRESSE IN BLISTER DIVISIBILE PER DOSE UNITARIA PVC/PVDC/AL</t>
  </si>
  <si>
    <t>ACCORD HEALTHCARE, S.L.U.</t>
  </si>
  <si>
    <t>Sì</t>
  </si>
  <si>
    <t>Cessata commercializzazione permanente</t>
  </si>
  <si>
    <t>Per trattamento alternativo si consiglia di rivolgersi allo specialista o al M.M.G</t>
  </si>
  <si>
    <t>ABACAVIR E LAMIVUDINA DOC GENERICI</t>
  </si>
  <si>
    <t>"600 MG/300 MG COMPRESSE RIVESTITE CON FILM" 30 COMPRESSE IN BLISTER AL/PVC/PE/PVDC</t>
  </si>
  <si>
    <t>DOC GENERICI SRL</t>
  </si>
  <si>
    <t>ABACAVIR E LAMIVUDINA EG</t>
  </si>
  <si>
    <t>EG S.P.A.</t>
  </si>
  <si>
    <t>ABACAVIR E LAMIVUDINA TEVA</t>
  </si>
  <si>
    <t>" 600 MG/300MG COMPRESSE RIVESTITE CON FILM " 30X1 COMPRESSE IN BLISTER PVC/PVDC/AL</t>
  </si>
  <si>
    <t>TEVA ITALIA S.R.L.</t>
  </si>
  <si>
    <t>ABIMONO</t>
  </si>
  <si>
    <t>ISOCONAZOLO NITRATO</t>
  </si>
  <si>
    <t>"1% CREMA VAGINALE" 1 TUBO DA 30 G + 6 APPLICATORI MONOUSO</t>
  </si>
  <si>
    <t>FARMITALIA INDUSTRIA CHIMICO FARMACEUTICA S.R.L.</t>
  </si>
  <si>
    <t>Cessata commercializzazione temporanea</t>
  </si>
  <si>
    <t>ABSTRAL</t>
  </si>
  <si>
    <t>FENTANIL CITRATO</t>
  </si>
  <si>
    <t>"300 MCG COMPRESSE SUBLINGUALI" 10 COMPRESSE IN BLISTER OPA/PVC/AL/AL</t>
  </si>
  <si>
    <t>KYOWA KIRIN HOLDINGS B.V.</t>
  </si>
  <si>
    <t>No</t>
  </si>
  <si>
    <t>Problemi produttivi: distribuzione contingentata</t>
  </si>
  <si>
    <t>Si rilascia autorizzazione all’importazione alle strutture sanitarie per analogo autorizzato all’estero-Ministero della Salute – Ufficio Centrale Stupefacenti – Fax 06 5994 3226</t>
  </si>
  <si>
    <t>"400 MCG COMPRESSE SUBLINGUALI" 10 COMPRESSE IN BLISTER OPA/PVC/AL/AL</t>
  </si>
  <si>
    <t>Problemi produttivi</t>
  </si>
  <si>
    <t>"600 MCG COMPRESSE SUBLINGUALI" 10 COMPRESSE IN BLISTER OPA/PVC/AL/AL</t>
  </si>
  <si>
    <t>ACCARIZAX</t>
  </si>
  <si>
    <t>ESTRATTO DI ALLERGENI STANDARDIZZATI DI ACARI DELLA  POLVERE  DERMATOPHAGOIDES  PTERONYSSINUS  E   DERMATOPHAGOIDES FARINAE</t>
  </si>
  <si>
    <t>"12 SQ-HDM LIOFILIZZATO ORALE" 90 LIOFILIZZATI ORALI IN BLISTER AL/AL</t>
  </si>
  <si>
    <t>ALK-ABELLÓ A/S</t>
  </si>
  <si>
    <t>ACCOFIL</t>
  </si>
  <si>
    <t>FILGRASTIM</t>
  </si>
  <si>
    <t>48 MU/0,5 ML SOLUZIONE PER INIEZIONE/INFUSIONE - USO SOTTOCUTANEO O ENDOVENOSO - SIRINGA PRERIEMPITA (VETRO)  CON AGO DI SICUREZZA 0,5ML -1 SIRINGA PRERIEMPITA</t>
  </si>
  <si>
    <t>ACICLOVIR GIT</t>
  </si>
  <si>
    <t>ACICLOVIR</t>
  </si>
  <si>
    <t>"8% SOSPENSIONE ORALE" FLACONE DA 100 ML SOSPENSIONE ORALE</t>
  </si>
  <si>
    <t>S.F. GROUP S.R.L.</t>
  </si>
  <si>
    <t>ACICLOVIR MYLAN GENERICS ITALIA</t>
  </si>
  <si>
    <t>CREMA 5% TUBO 10 G</t>
  </si>
  <si>
    <t>MYLAN S.P.A.</t>
  </si>
  <si>
    <t>ACICLOVIR SOFAR</t>
  </si>
  <si>
    <t>"400 MG COMPRESSE" 25 COMPRESSE</t>
  </si>
  <si>
    <t>SOFAR S.P.A.</t>
  </si>
  <si>
    <t>"8 % SOSPENSIONE ORALE" FLACONE DA 100 ML</t>
  </si>
  <si>
    <t>"800 MG COMPRESSE" 35 COMPRESSE</t>
  </si>
  <si>
    <t>ACICLOVIR SUN</t>
  </si>
  <si>
    <t>"400 MG COMPRESSE"25 COMPRESSE</t>
  </si>
  <si>
    <t>SUN PHARMACEUTICAL INDUSTRIES (EUROPE) B.V.</t>
  </si>
  <si>
    <t>"400 MG/5 ML SOSPENSIONE ORALE"1 FLACONE 100 ML</t>
  </si>
  <si>
    <t>"5% CREMA" 1 TUBO 3 G</t>
  </si>
  <si>
    <t>"5% CREMA" 1 TUBO 10 G</t>
  </si>
  <si>
    <t>ACICLOVIR TECNIGEN</t>
  </si>
  <si>
    <t>"5 % CREMA "  TUBO DA  3 G</t>
  </si>
  <si>
    <t>TECNIGEN S.R.L.</t>
  </si>
  <si>
    <t>ACIDO BORICO ALMUS</t>
  </si>
  <si>
    <t>ACIDO BORICO</t>
  </si>
  <si>
    <t>"3% UNGUENTO" TUBO DA 30 G</t>
  </si>
  <si>
    <t>ALMUS S.R.L.</t>
  </si>
  <si>
    <t>ACIDO CLODRONICO EG</t>
  </si>
  <si>
    <t>ACIDO CLODRONICO</t>
  </si>
  <si>
    <t>"100 MG/3,3 ML SOLUZIONE INIETTABILE" 6 FIALE</t>
  </si>
  <si>
    <t>ACIDO IBANDRONICO ACCORD</t>
  </si>
  <si>
    <t>ACIDO IBANDRONICO</t>
  </si>
  <si>
    <t>ACIDO IBANDRONICO ACCORD - 6 MG CONCENTTRATO PER SOLUZIONE PR INFUSIONE - USO ENDOVENOSO- FLACONCINO (VETRO) - 6 ML - 1 FLACONCINO</t>
  </si>
  <si>
    <t>ACIDO IBANDRONICO AUROBINDO PHARMA ITALIA</t>
  </si>
  <si>
    <t>"6 MG CONCENTRATO PER SOLUZIONE PER INFUSIONE" 1 FLACONCINO 6 ML</t>
  </si>
  <si>
    <t>AUROBINDO PHARMA (ITALIA) S.R.L.</t>
  </si>
  <si>
    <t>ACIDO IBANDRONICO TECNIGEN</t>
  </si>
  <si>
    <t>"150 MG COMPRESSE RIVESTITE CON FILM" 1 COMPRESSA IN BLISTER PVDC/PVC/AL</t>
  </si>
  <si>
    <t>ACIDO MICOFENOLICO ACCORD</t>
  </si>
  <si>
    <t>ACIDO MICOFENOLICO</t>
  </si>
  <si>
    <t>"180 MG COMPRESSE GASTRORESISTENTI" 100 COMPRESSE IN BLISTER AL/AL</t>
  </si>
  <si>
    <t>"360 MG COMPRESSE GASTRORESISTENTI" 50 COMPRESSE IN BLISTER AL/AL</t>
  </si>
  <si>
    <t>ACIDO TRANEXAMICO ACCORD</t>
  </si>
  <si>
    <t>" 100 MG/ML SOLUZIONE INIETTABILE " 5 FIALE IN VETRO DA 5ML</t>
  </si>
  <si>
    <t>Elevata richiesta/problemi produttivi</t>
  </si>
  <si>
    <t>ACIDO URSODESOSSICOLICO MYLAN GENERICS</t>
  </si>
  <si>
    <t>ACIDO URSODESOSSICOLICO</t>
  </si>
  <si>
    <t>"150 MG COMPRESSE" 20 COMPRESSE</t>
  </si>
  <si>
    <t>"300 MG COMPRESSE" 20 COMPRESSE</t>
  </si>
  <si>
    <t>ACIDO URSODESOSSICOLICO ZENTIVA</t>
  </si>
  <si>
    <t>"300 MG CAPSULE RIGIDE" 20 CAPSULE</t>
  </si>
  <si>
    <t>ZENTIVA ITALIA S.R.L.</t>
  </si>
  <si>
    <t>ACIDO VALPROICO E SODIO VALPROATO RATIOPHARM</t>
  </si>
  <si>
    <t>SODIO VALPROATO/ACIDO VALPROICO</t>
  </si>
  <si>
    <t>"500 MG COMPRESSE A RILASCIO PROLUNGATO" 30 COMPRESSE IN BLISTER AL/AL</t>
  </si>
  <si>
    <t>RATIOPHARM GMBH</t>
  </si>
  <si>
    <t>Problemi produttivi (carenza relativa solo al canale retail)</t>
  </si>
  <si>
    <t>ACIDO VALPROICO SANDOZ</t>
  </si>
  <si>
    <t>"300 MG COMPRESSE A RILASCIO PROLUNGATO"30 COMPRESSE</t>
  </si>
  <si>
    <t>SANDOZ S.P.A.</t>
  </si>
  <si>
    <t>"500 MG COMPRESSE A RILASCIO PROLUNGATO" 30 COMPRESSE</t>
  </si>
  <si>
    <t>ACIDO ZOLEDRONICO ACTAVIS</t>
  </si>
  <si>
    <t>ACIDO ZOLEDRONICO</t>
  </si>
  <si>
    <t>"4 MG/5 ML - CONCENTRATO PER SOLUZIONE PER INFUSIONE - USO ENDOVENOSO - FLACONCINO (PLASTICA)" 1 FLACONCINO</t>
  </si>
  <si>
    <t>ACTAVIS GROUP PTC EHF</t>
  </si>
  <si>
    <t>ACIDO ZOLEDRONICO HOSPIRA</t>
  </si>
  <si>
    <t>4MG/100 ML - SOLUZIONE PER INFUSIONE-USO ENDOVENOSO-SACCA (PP/PP)- 4MG/100ML -1 SACCA</t>
  </si>
  <si>
    <t>PFIZER EUROPE MA EEIG</t>
  </si>
  <si>
    <t>4MG/5 ML CONCENTRATO PER SOLUZIONE PER INFUSIONE-USO ENDOVENOSO-FLACONCINO (PLASTICA)- 4MG/5ML-1 FLACONCINO</t>
  </si>
  <si>
    <t>ACIDO ZOLEDRONICO IBIGEN</t>
  </si>
  <si>
    <t>"4 MG POLVERE E SOLVENTE PER SOLUZIONE PER INFUSIONE" 1 FLACONCINO IN VETRO DI POLVERE + 1 FIALA SOLVENTE</t>
  </si>
  <si>
    <t>IBIGEN S.R.L.</t>
  </si>
  <si>
    <t>ACIDO ZOLEDRONICO TEVA</t>
  </si>
  <si>
    <t>"4 MG/5 ML - CONCENTRATO PER SOLUZIONE PER INFUSIONE - USO ENDOVENOSO - FLACONCINO (VETRO) - 5 ML" 1 FLACONCINO</t>
  </si>
  <si>
    <t>TEVA B.V.</t>
  </si>
  <si>
    <t>ACRIDON</t>
  </si>
  <si>
    <t>RISEDRONATO SODICO</t>
  </si>
  <si>
    <t>"35 MG COMPRESSE RIVESTITE CON FILM" 4 COMPRESSE</t>
  </si>
  <si>
    <t>NEOPHARMED GENTILI S.P.A.</t>
  </si>
  <si>
    <t>ACTIBU FEBBRE E DOLORE</t>
  </si>
  <si>
    <t>IBUPROFENE SALE DI LISINA</t>
  </si>
  <si>
    <t>"400 MG COMPRESSE RIVESTITE CON FILM" 10 COMPRESSE</t>
  </si>
  <si>
    <t>JOHNSON &amp; JOHNSON S.P.A.</t>
  </si>
  <si>
    <t>ACTIGRIP</t>
  </si>
  <si>
    <t>PSEUDOEFEDRINA/TRIPROLIDINA/PARACETAMOLO</t>
  </si>
  <si>
    <t>"COMPRESSE" 12 COMPRESSE</t>
  </si>
  <si>
    <t>ACTIQ</t>
  </si>
  <si>
    <t>3 PASTIGLIE OROSOLUBILI PER MUCOSA ORALE CON APPLICATORE INCORPORATO DA 200 MCG</t>
  </si>
  <si>
    <t>- cessata commercializzazione per il canale retail a partire dal 15/07/2020
- cessata commercializzazione per il canale ospedaliero a partire dal 12/12/2020</t>
  </si>
  <si>
    <t>3 PASTIGLIE OROSOLUBILI PER MUCOSA ORALE CON APPLICATORE INCORPORATO DA 400 MCG</t>
  </si>
  <si>
    <t>- cessata commercializzazione per il canale retail a partire dal 30/04/2020
- cessata commercializzazione per il canale ospedaliero a partire dal 09/04/2021</t>
  </si>
  <si>
    <t>3 PASTIGLIE OROSOLUBILI PER MUCOSA ORALE CON APPLICATORE INCORPORATO DA 600 MCG</t>
  </si>
  <si>
    <t>- cessata commercializzazione per il canale retail a partire dal 13/08/2020
- cessata commercializzazione per il canale ospedaliero a partire dal 28/02/2021</t>
  </si>
  <si>
    <t>3 PASTIGLIE OROSOLUBILI PER MUCOSA ORALE CON APPLICATORE INCORPORATO DA 800 MCG</t>
  </si>
  <si>
    <t>3 PASTIGLIE OROSOLUBILI PER MUCOSA ORALE CON APPLICATORE INCORPORATO DA 1200 MCG</t>
  </si>
  <si>
    <t>3 PASTIGLIE OROSOLUBILI PER MUCOSA ORALE CON APPLICATORE INCORPORATO DA 1600 MCG</t>
  </si>
  <si>
    <t>ACURMIL</t>
  </si>
  <si>
    <t>ATRACURIO BESILATO</t>
  </si>
  <si>
    <t>" 50 MG/5 ML SOLUZIONE INIETTABILE " 5 FIALE</t>
  </si>
  <si>
    <t>LABORATORIO ITALIANO BIOCHIMICO FARMACEUTICO LISAPHARMA S.P.A.</t>
  </si>
  <si>
    <t>ADALAT CRONO</t>
  </si>
  <si>
    <t>NIFEDIPINA</t>
  </si>
  <si>
    <t>"30 MG COMPRESSE A RILASCIO MODIFICATO" 14 COMPRESSE</t>
  </si>
  <si>
    <t>BAYER S.P.A.</t>
  </si>
  <si>
    <t>Problemi produttivi: forniture discontinue</t>
  </si>
  <si>
    <t>Si rilascia autorizzazione all’importazione alle strutture sanitarie per analogo autorizzato all’estero, nel caso in cui le strutture interessate riscontrino discontinuità nella fornitura, a livello delle reti distributive cui hanno accesso</t>
  </si>
  <si>
    <t>la distribuzione delle confezioni disponibili viene gestita in modalità contingentata</t>
  </si>
  <si>
    <t>"60 MG COMPRESSE A RILASCIO MODIFICATO" 14 COMPRESSE</t>
  </si>
  <si>
    <t>Si rilascia autorizzazione all’importazione alle strutture sanitarie per analogo autorizzato all’estero</t>
  </si>
  <si>
    <t>"20 MG COMPRESSE A RILASCIO MODIFICATO" 14 COMPRESSE</t>
  </si>
  <si>
    <t>ADENOSCAN</t>
  </si>
  <si>
    <t>ADENOSINA</t>
  </si>
  <si>
    <t>6 FLACONCINI 30 MG 10 ML IV</t>
  </si>
  <si>
    <t>SANOFI S.R.L.</t>
  </si>
  <si>
    <t>ADENOSINA ACCORD</t>
  </si>
  <si>
    <t>"6 MG/2 ML SOLUZIONE INIETTABILE" 6 FLACONCINI IN VETRO DA 2 ML</t>
  </si>
  <si>
    <t>ADENOSINA AHCL</t>
  </si>
  <si>
    <t>"30 MG/10 ML SOLUZIONE PER INFUSIONE" 6 FLACONCINI IN VETRO DA 10 ML</t>
  </si>
  <si>
    <t>ADESITRIN</t>
  </si>
  <si>
    <t>NITROGLICERINA</t>
  </si>
  <si>
    <t>"15 MG/24 H CEROTTI TRANSDERMICI" 15 CEROTTI TRANSDERMICI</t>
  </si>
  <si>
    <t>MERUS LABS LUXCO II SARL</t>
  </si>
  <si>
    <t>ADISTEROLO</t>
  </si>
  <si>
    <t>RETINOLO/COLECALCIFEROLO</t>
  </si>
  <si>
    <t>"300.000 UI/ML + 20.000 UI/ML SOLUZIONE ORALE E INIETTABILE PER USO INTRAMUSCOLARE" 2 FIALE DA 1 ML</t>
  </si>
  <si>
    <t>ABIOGEN PHARMA S.P.A.</t>
  </si>
  <si>
    <t>ADYNOVI</t>
  </si>
  <si>
    <t>RURIOCTOCOG ALFA PEGOL</t>
  </si>
  <si>
    <t>500 UI - POLVERE E SOLVENTE PER SOLUZIONE INIETTABILE - USO ENDOVENOSO - POLVERE: FLACONCINO (VETRO); SOLVENTE: FLACONCINO (VETRO) - POLVERE: 500 UI; SOLVENTE: 2 ML (250 UI/ML) - 1 FLACONCINO + 1 FLACONCINO, PREASSEMBLATI CON DISPOSITIVO PER RICOSTRUZIONE</t>
  </si>
  <si>
    <t>BAXALTA INNOVATIONS GMBH</t>
  </si>
  <si>
    <t>Elevata richiesta</t>
  </si>
  <si>
    <t>AERIUS</t>
  </si>
  <si>
    <t>DESLORATADINA</t>
  </si>
  <si>
    <t>"2,5 MG COMPRESSA ORODISPERSIBILE - USO ORALE" BLISTER PVC/OPA/ALU) 18 COMPRESSE</t>
  </si>
  <si>
    <t>MERCK SHARP &amp; DOHME B.V.</t>
  </si>
  <si>
    <t>"2,5 MG COMPRESSA ORODISPERSIBILE - USO ORALE" BLISTER PVC/OPA/ALU) 30 COMPRESSE</t>
  </si>
  <si>
    <t>AFFERA</t>
  </si>
  <si>
    <t>FLUTICASONE PROPIONATO + FORMOTEROLO FUMARATO DIIDRATO</t>
  </si>
  <si>
    <t>"125 MICROGRAMMI/5 MICROGRAMMI PER EROGAZIONE, SOSPENSIONE PRESSURIZZATA PER INALAZIONE" 120 EROGAZIONI PER INALATORE</t>
  </si>
  <si>
    <t>MUNDIPHARMA PHARMACEUTICALS S.R.L.</t>
  </si>
  <si>
    <t>AFTAB</t>
  </si>
  <si>
    <t>TRIAMCINOLONE ACETONIDE</t>
  </si>
  <si>
    <t>"25 MICROGRAMMI COMPRESSE" 10 COMPRESSE</t>
  </si>
  <si>
    <t>ROTTAPHARM S.P.A.</t>
  </si>
  <si>
    <t>AFTEREL</t>
  </si>
  <si>
    <t>LEVONORGESTREL</t>
  </si>
  <si>
    <t>"1,5 MG COMPRESSE" 1 COMPRESSA IN BLISTER PVC/PVDC/AL</t>
  </si>
  <si>
    <t>AGGRENOX</t>
  </si>
  <si>
    <t>DIPIRIDAMOLO/ACIDO ACETILSALICILICO</t>
  </si>
  <si>
    <t>"200 MG + 25 MG CAPSULE RIGIDE A RILASCIO MODIFICATO" 60 CAPSULE</t>
  </si>
  <si>
    <t>BOEHRINGER INGELHEIM ITALIA S.P.A.</t>
  </si>
  <si>
    <t>AGRIPPAL S1</t>
  </si>
  <si>
    <t>EMOAGGLUTININA VIRALE + VACCINO INFLUENZALE INATTIVATO</t>
  </si>
  <si>
    <t>"SOSPENSIONE INIETTABILE PER USO INTRAMUSCOLARE O SOTTOCUTANEO" 10 SIRINGHE PRERIEMPITE DA 0,5 ML CON AGO (25 G) 5/8</t>
  </si>
  <si>
    <t>SEQIRUS S.R.L.</t>
  </si>
  <si>
    <t>"SOSPENSIONE INIETTABILE PER USO INTRAMUSCOLARE O SOTTOCUTANEO" 1 SIRINGA PRERIEMPITA DA 0,5 ML CON AGO (25 G) 5/8</t>
  </si>
  <si>
    <t>AIROL</t>
  </si>
  <si>
    <t>TRETINOINA</t>
  </si>
  <si>
    <t>"0,05% CREMA" TUBO 20 G</t>
  </si>
  <si>
    <t>PIERRE FABRE ITALIA S.P.A.</t>
  </si>
  <si>
    <t>ALBATEN</t>
  </si>
  <si>
    <t>CILOSTAZOLO</t>
  </si>
  <si>
    <t>"100 MG COMPRESSE" 28 COMPRESSE IN BLISTER PVC/AL</t>
  </si>
  <si>
    <t>PHARMACARE S.R.L.</t>
  </si>
  <si>
    <t>ALBUMINA BAXALTA</t>
  </si>
  <si>
    <t>ALBUMINA UMANA SOLUZIONE</t>
  </si>
  <si>
    <t>"250 G/L SOLUZIONE PER INFUSIONE" 1 FLACONCINO IN VETRO DA 50 ML</t>
  </si>
  <si>
    <t>Elevata richiesta: forniture discontinue (carenza relativa solo al canale retail)</t>
  </si>
  <si>
    <t>ALBUREX</t>
  </si>
  <si>
    <t>" 25 %  SOLUZIONE PER INFUSIONE " 1 FLACONE DA 50 ML</t>
  </si>
  <si>
    <t>CSL BEHRING GMBH</t>
  </si>
  <si>
    <t>ALCMENA</t>
  </si>
  <si>
    <t>ETINILESTRADIOLO + GESTODENE</t>
  </si>
  <si>
    <t>"0,015MG/0,060 MG COMPRESSE RIVESTITE CON FILM"  1 BLISTER PVC/AL DA 28 COMPRESSE</t>
  </si>
  <si>
    <t>ALENDRONATO E COLECALCIFEROLO SANDOZ</t>
  </si>
  <si>
    <t>COLECALCIFEROLO</t>
  </si>
  <si>
    <t>"70 MG/5600 UI COMPRESSE" 4 COMPRESSE IN BLISTER AL/AL</t>
  </si>
  <si>
    <t>ALENDRONATO E COLECALCIFEROLO TEVA ITALIA</t>
  </si>
  <si>
    <t>ACIDO ALENDRONICO + COLECALCIFEROLO</t>
  </si>
  <si>
    <t>"70 MG/2800 I.U. COMPRESSE" 4 COMPRESSE IN BLISTER OPA/AL/PVC/AL CON CALENDARIO</t>
  </si>
  <si>
    <t>la carenza è relativa sia al canale retail che al canale ospedaliero:                             - inizio carenza canale retail: 14/03/2019 - inizio carenza canale ospedaliero:   08/07/2019</t>
  </si>
  <si>
    <t>ALENDRONATO RATIOPHARM</t>
  </si>
  <si>
    <t>ALENDRONATO SODICO</t>
  </si>
  <si>
    <t>"70 MG COMPRESSE" 4 COMPRESSE IN BLISTER PVC/PE/PVDC/AL</t>
  </si>
  <si>
    <t>ALENDRONATO TEVA</t>
  </si>
  <si>
    <t>"70 MG COMPRESSE" 4 COMPRESSE IN BLISTER AL/AL</t>
  </si>
  <si>
    <t>ALENDROS</t>
  </si>
  <si>
    <t>"10MG COMPRESSE" 14 COMPRESSE</t>
  </si>
  <si>
    <t>ALFA KAPPA</t>
  </si>
  <si>
    <t>AMINOACIDI KETOANALOGHI/AMINOACIDI</t>
  </si>
  <si>
    <t>"COMPRESSE RIVESTITE" 100 COMPRESSE</t>
  </si>
  <si>
    <t>FRESENIUS KABI ITALIA S.R.L.</t>
  </si>
  <si>
    <t>Rilasciata determinazione per l’importazione al titolare A.I.C.</t>
  </si>
  <si>
    <t>ALFOSPAS</t>
  </si>
  <si>
    <t>TIROPRAMIDE CLORIDRATO</t>
  </si>
  <si>
    <t>30 CAPSULE 200 MG</t>
  </si>
  <si>
    <t>ALFUZOSINA SUN</t>
  </si>
  <si>
    <t>ALFUZOSINA CLORIDRATO</t>
  </si>
  <si>
    <t>"10 MG COMPRESSE A RILASCIO PROLUNGATO" 30 COMPRESSE IN BLISTER PVC/AL</t>
  </si>
  <si>
    <t>ALGESALONA</t>
  </si>
  <si>
    <t>BUPRENORFINA</t>
  </si>
  <si>
    <t>"35 MICROGRAMMI//H CEROTTO TRANSDERMICO" 3 CEROTTI IN BUSTA DI CARTA/PET/PE/AL/SURLYN</t>
  </si>
  <si>
    <t>"52,5 MICROGRAMMI/H CEROTTO TRANSDERMICO" 3 CEROTTI IN BUSTA DI CARTA/PET/PE/AL/SURLYN</t>
  </si>
  <si>
    <t>"70 MICROGRAMMI/H CEROTTO TRANSDERMICO" 3 CEROTTI IN BUSTA DI CARTA/PET/PE/AL/SURLYN</t>
  </si>
  <si>
    <t>ALKERAN</t>
  </si>
  <si>
    <t>MELFALAN</t>
  </si>
  <si>
    <t>"50 MG/10 ML POLVERE E SOLVENTE PER SOLUZIONE INIETTABILE" 1 FLACONCINO POLVERE + 1 FLACONCINO SOLVENTE DA 10 ML</t>
  </si>
  <si>
    <t>ASPEN PHARMA TRADING LIMITED</t>
  </si>
  <si>
    <t>ALLI</t>
  </si>
  <si>
    <t>ORLISTAT</t>
  </si>
  <si>
    <t>"60 MG CAPSULA RIGIDA - USO ORALE - FLACONE (HDPE)" 42 CAPSULE</t>
  </si>
  <si>
    <t>GLAXOSMITHKLINE DUNGARVAN LIMITED</t>
  </si>
  <si>
    <t>ALLOPURINOLO PENSA</t>
  </si>
  <si>
    <t>ALLOPURINOLO</t>
  </si>
  <si>
    <t>"100 MG COMPRESSE" 50 COMPRESSE IN BLISTER PVC/AL</t>
  </si>
  <si>
    <t>PENSA PHARMA S.P.A.</t>
  </si>
  <si>
    <t>"300 MG COMPRESSE" 30 COMPRESSE IN BLISTER PVC/AL</t>
  </si>
  <si>
    <t>ALLOPURINOLO SANDOZ</t>
  </si>
  <si>
    <t>"300 MG COMPRESSE" 30 COMPRESSE IN BLISTER PP/AL</t>
  </si>
  <si>
    <t>ALMARYTM</t>
  </si>
  <si>
    <t>FLECAINIDE ACETATO</t>
  </si>
  <si>
    <t>"150 MG/15 ML SOLUZIONE INIETTABILE PER USO ENDOVENOSO"5 FIALE 15 ML</t>
  </si>
  <si>
    <t>MEDA PHARMA S.P.A.</t>
  </si>
  <si>
    <t>ALMOTRIPTAN AUROBINDO</t>
  </si>
  <si>
    <t>ALMOTRIPTAN IDROGENOMALATO</t>
  </si>
  <si>
    <t>"12,5MG COMPRESSE RIVESTITE CON FILM" 3 COMPRESSE IN BLISTER OPA/AL/PVC</t>
  </si>
  <si>
    <t>"12,5MG COMPRESSE RIVESTITE CON FILM" 6 COMPRESSE IN BLISTER OPA/AL/PVC</t>
  </si>
  <si>
    <t>ALMOTRIPTAN MYLAN</t>
  </si>
  <si>
    <t>"12,5 MG COMPRESSE RIVESTITE CON FILM" 6 COMPRESSE IN BLISTER AL/OPA/PVC-AL</t>
  </si>
  <si>
    <t>ALMOTRIPTAN SANDOZ</t>
  </si>
  <si>
    <t>"12,5 MG COMPRESSE RIVESTITE CON FILM" 3 COMPRESSE IN BLISTER OPA/AL/PVC-AL</t>
  </si>
  <si>
    <t>"12,5 MG COMPRESSE RIVESTITE CON FILM" 6 COMPRESSE IN BLISTER  OPA/AL/PVC-AL</t>
  </si>
  <si>
    <t>ALPHANINE</t>
  </si>
  <si>
    <t>FATTORE IX DELLA COAGULAZIONE</t>
  </si>
  <si>
    <t>" 1000 UI/10 ML POLVERE E SOLVENTE PER SOLUZIONE PER INFUSIONE " FLACONE POLVERE + SIRINGA PRERIEMPITA DI SOLVENTE DA 10 ML + ADATTATORE</t>
  </si>
  <si>
    <t>GRIFOLS ITALIA S.P.A.</t>
  </si>
  <si>
    <t>" 1500 UI/10 ML POLVERE E SOLVENTE PER SOLUZIONE PER INFUSIONE " FLACONE POLVERE + SIRINGA PRERIEMPITA DI SOLVENTE DA 10 ML + ADATTATORE</t>
  </si>
  <si>
    <t>ALPRASOX</t>
  </si>
  <si>
    <t>ALPRAZOLAM</t>
  </si>
  <si>
    <t>"0,75MG/ML GOCCE ORALI, SOLUZIONE" FLACONE 20ML</t>
  </si>
  <si>
    <t>PFIZER ESTABLISHED MEDICINE ITALY S.R.L.</t>
  </si>
  <si>
    <t>ALPRAZOLAM AUROBINDO</t>
  </si>
  <si>
    <t>"0,25 MG COMPRESSE" 30 COMPRESSE IN FLACONE HDPE</t>
  </si>
  <si>
    <t>"0,5 MG COMPRESSE" 30 COMPRESSE IN FLACONE HDPE</t>
  </si>
  <si>
    <t>"1 MG COMPRESSE" 30 COMPRESSE IN FLACONE HDPE</t>
  </si>
  <si>
    <t>ALPRAZOLAM SUN</t>
  </si>
  <si>
    <t>"1 MG COMPRESSE" 20 COMPRESSE</t>
  </si>
  <si>
    <t>0,75 MG/ML GOCCE ORALI,SOLUZIONE 20 ML</t>
  </si>
  <si>
    <t>ALTARGO</t>
  </si>
  <si>
    <t>RETAPAMULINA</t>
  </si>
  <si>
    <t>"1% UNGUENTO - USO CUTANEO TUBO (ALU)" 1 TUBO 5G</t>
  </si>
  <si>
    <t>GLAXO GROUP LIMITED</t>
  </si>
  <si>
    <t>ALTIAZEM</t>
  </si>
  <si>
    <t>DILTIAZEM CLORIDRATO</t>
  </si>
  <si>
    <t>"50 MG/5 ML POLVERE E SOLVENTE PER SOLUZIONE INIETTABILE" 5 FLACONI + 5 FIALE DA 5 ML</t>
  </si>
  <si>
    <t>ISTITUTO LUSO FARMACO D'ITALIA S.P.A.</t>
  </si>
  <si>
    <t>AMBROMUCIL</t>
  </si>
  <si>
    <t>AMBROXOLO ACEFILLINATO</t>
  </si>
  <si>
    <t>SCIROPPO 1% 200 ML</t>
  </si>
  <si>
    <t>MALESCI ISTITUTO FARMACOBIOLOGICO S.P.A.</t>
  </si>
  <si>
    <t>AD 30 BUSTINE GRANULARE 100 MG</t>
  </si>
  <si>
    <t>AMIKACINA TEVA</t>
  </si>
  <si>
    <t>AMIKACINA SOLFATO</t>
  </si>
  <si>
    <t>"1 G/4 ML SOLUZIONE INIETTABILE" 1 FIALA</t>
  </si>
  <si>
    <t>"0,5 G/2 ML SOLUZIONE INIETTABILE" 5 FIALE</t>
  </si>
  <si>
    <t>AMIKAN</t>
  </si>
  <si>
    <t>"1 G/4 ML SOLUZIONE INIETTABILE PER USO INTRAMUSCOLARE" 1 FLACONCINO 4 ML</t>
  </si>
  <si>
    <t>SO.SE.PHARM S.R.L. SOCIETA' DI SERVIZIO PER L'INDUSTRIA FARMACEUTICA ED AFFINI</t>
  </si>
  <si>
    <t>"500 MG/2 ML SOLUZIONE INIETTABILE PER USO INTRAMUSCOLARE" 1 FLACONCINO 2 ML</t>
  </si>
  <si>
    <t>AMINOACIDI A CATENA RAMIFICATA</t>
  </si>
  <si>
    <t>AMINOACIDI</t>
  </si>
  <si>
    <t>"4 G/100 ML SOLUZIONE PER INFUSIONE" 1 FLACONE 500 ML</t>
  </si>
  <si>
    <t>INDUSTRIA FARMACEUTICA GALENICA SENESE S.R.L.</t>
  </si>
  <si>
    <t>AMINOACIDI ESSENZIALI GALENICA SENESE</t>
  </si>
  <si>
    <t>"5,3 G/100 ML SOLUZIONE PER INFUSIONE "  1 FLACONE 500 ML</t>
  </si>
  <si>
    <t>AMINOACIDI SELETTIVI GALENICA SENESE</t>
  </si>
  <si>
    <t>"8 G/100 ML SOLUZIONE PER INFUSIONE" 1 FLACONE 500 ML</t>
  </si>
  <si>
    <t>AMINOMAL</t>
  </si>
  <si>
    <t>TEOFILLINA</t>
  </si>
  <si>
    <t>"0,67% SOLUZIONE ORALE" 1 FLACONE 200 ML</t>
  </si>
  <si>
    <t>AMINOFILLINA</t>
  </si>
  <si>
    <t>IM 6 FIALE 2 ML</t>
  </si>
  <si>
    <t>AMINOMIX</t>
  </si>
  <si>
    <t>AMINOACIDI/GLUCOSIO (DESTROSIO)/ELETTROLITI</t>
  </si>
  <si>
    <t>"CON GLUCOSIO 20% ED ELETTROLITI SOLUZIONE PER INFUSIONE" 6 SACCHE DA 1000 ML</t>
  </si>
  <si>
    <t>"CON GLUCOSIO 20% ED ELETTROLITI SOLUZIONE PER INFUSIONE" 4 SACCHE DA 1500 ML</t>
  </si>
  <si>
    <t>"CON GLUCOSIO 20% ED ELETTROLITI SOLUZIONE PER INFUSIONE" 4 SACCHE DA 2000 ML</t>
  </si>
  <si>
    <t>"CON GLUCOSIO 12% ED ELETTROLITI SOLUZIONE PER INFUSIONE" 6 SACCHE DA 1000 ML</t>
  </si>
  <si>
    <t>"CON GLUCOSIO 12% ED ELETTROLITI SOLUZIONE PER INFUSIONE" 4 SACCHE DA 1500 ML</t>
  </si>
  <si>
    <t>AMINOACIDI/GLUCOSIO (DESTROSIO)</t>
  </si>
  <si>
    <t>"CON GLUCOSIO 12% SENZA ELETTROLITI SOLUZIONE PER INFUSIONE" 6 SACCHE DA 1000 ML</t>
  </si>
  <si>
    <t>"CON GLUCOSIO 12% SENZA ELETTROLITI SOLUZIONE PER INFUSIONE" 4 SACCHE DA 1500 ML</t>
  </si>
  <si>
    <t>AMIODARONE</t>
  </si>
  <si>
    <t>AMIODARONE CLORIDRATO</t>
  </si>
  <si>
    <t>"200 MG COMPRESSE" 20 COMPRESSE</t>
  </si>
  <si>
    <t>AMIODARONE AUROBINDO</t>
  </si>
  <si>
    <t>"200 MG COMPRESSE" 20 COMPRESSE IN BLISTER PVC/AL</t>
  </si>
  <si>
    <t>AMISULPRIDE AUROBINDO</t>
  </si>
  <si>
    <t>AMISULPRIDE</t>
  </si>
  <si>
    <t>"50 MG COMPRESSE" 12 COMPRESSE IN BLISTER PVC/AL</t>
  </si>
  <si>
    <t>AMLODIPINA  PFIZER  ITALIA</t>
  </si>
  <si>
    <t>AMLODIPINA BESILATO</t>
  </si>
  <si>
    <t>"5 MG COMPRESSE" 28 COMPRESSE</t>
  </si>
  <si>
    <t>"10 MG COMPRESSE"  14 COMPRESSE</t>
  </si>
  <si>
    <t>AMLODIPINA ALTER</t>
  </si>
  <si>
    <t>LABORATORI ALTER S.R.L.</t>
  </si>
  <si>
    <t>AMLODIPINA AUROBINDO</t>
  </si>
  <si>
    <t>"5 MG COMPRESSE" 28 COMPRESSE IN BLISTER PVC/PVDC/AL</t>
  </si>
  <si>
    <t>AMLODIPINA BLUEFISH</t>
  </si>
  <si>
    <t>AMLODIPINA</t>
  </si>
  <si>
    <t>" 5 MG COMPRESSE " 28 COMPRESSE IN BLISTER PVC/PVDC/AL</t>
  </si>
  <si>
    <t>BLUEFISH PHARMACEUTICALS AB</t>
  </si>
  <si>
    <t>" 10 MG COMPRESSE " 14 COMPRESSE IN BLISTER PVC/PVDC/AL</t>
  </si>
  <si>
    <t>AMLODIPINA MYLAN</t>
  </si>
  <si>
    <t>" 10 MG COMPRESSE " 28 COMPRESSE IN BLISTER PVC/PVDC/AL</t>
  </si>
  <si>
    <t>AMMONAPS</t>
  </si>
  <si>
    <t>SODIO FENILBUTIRRATO</t>
  </si>
  <si>
    <t>500 MG COMPRESSE 1 FLACONE HDPE 250 COMPRESSE USO ORALE</t>
  </si>
  <si>
    <t>IMMEDICA PHARMA AB</t>
  </si>
  <si>
    <t>940 MG/G GRANULATO 1 FLACONE HDPE 266 G DI GRANULATO + 3 MISURINI USO ORALE</t>
  </si>
  <si>
    <t>AMOCLA</t>
  </si>
  <si>
    <t>ACIDO CLAVULANICO + AMOXICILLINA TRIIDRATO</t>
  </si>
  <si>
    <t>"400 MG + 57 MG/5 ML POLVERE PER SOSPENSIONE ORALE" 1 FLACONE IN VETRO DA 70 ML CON CUCCHIAIO DOSATORE</t>
  </si>
  <si>
    <t>I.B.N. SAVIO S.R.L</t>
  </si>
  <si>
    <t>AMOXICILLINA ALMUS</t>
  </si>
  <si>
    <t>AMOXICILLINA TRIIDRATO</t>
  </si>
  <si>
    <t>"1 G COMPRESSE" 12 COMPRESSE</t>
  </si>
  <si>
    <t>AMOXICILLINA AUROBINDO</t>
  </si>
  <si>
    <t>AMOXICILLINA AUROBINDO ITALIA</t>
  </si>
  <si>
    <t>"500 MG COMPRESSE DISPERSIBILI" 12 COMPRESSE IN BLISTER PVC/PVDC-AL</t>
  </si>
  <si>
    <t>AMOXICILLINA E ACIDO CLAVULANICO AUROBINDO ITALIA</t>
  </si>
  <si>
    <t>AMOXICILLINA TRIIDRATA/POTASSIO CLAVULANATO</t>
  </si>
  <si>
    <t>"875 MG + 125 MG COMPRESSE RIVESTITE CON FILM " 12 COMPRESSE</t>
  </si>
  <si>
    <t>AMOXICILLINA E ACIDO CLAVULANICO AUROBINDO PHARMA ITALIA</t>
  </si>
  <si>
    <t>ACIDO CLAVULANICO + AMOXICILLINA</t>
  </si>
  <si>
    <t>" 400 MG+57 MG /5 ML POLVERE PER SOSPENSIONE ORALE" 1 FLACONE IN HDPE DA 35 CON SIRINGA GRADUATA</t>
  </si>
  <si>
    <t>" 400 MG+57 MG /5 ML POLVERE PER SOSPENSIONE ORALE" 1 FLACONE IN HDPE DA 70ML CON MISURINO GRADUATO</t>
  </si>
  <si>
    <t>" 400 MG+57 MG /5 ML POLVERE PER SOSPENSIONE ORALE" 1 FLACONE IN HDPE DA 140ML CON MISURINO GRADUATO</t>
  </si>
  <si>
    <t>AMOXICILLINA E ACIDO CLAVULANICO HEXAL AG</t>
  </si>
  <si>
    <t>" 875 MG + 125 MG COMPRESSE RIVESTITE CON FILM " 12 COMPRESSE</t>
  </si>
  <si>
    <t>HEXAL AG</t>
  </si>
  <si>
    <t>AMOXICILLINA E ACIDO CLAVULANICO SANDOZ A/S</t>
  </si>
  <si>
    <t>"1000 MG/200 MG POLVERE PER SOLUZIONE INIETTABILE/INFUSIONE" 1 FLACONCINO IN VETRO</t>
  </si>
  <si>
    <t>SANDOZ A/S</t>
  </si>
  <si>
    <t>"2000 MG/200 MG POLVERE PER SOLUZIONE PER INFUSIONE" 1 FLACONCINO IN VETRO</t>
  </si>
  <si>
    <t>AMOXICILLINA E ACIDO CLAVULANICO SUN PHARMA</t>
  </si>
  <si>
    <t>AMOXICILLINA E ACIDO CLAVULANICO TECNIGEN</t>
  </si>
  <si>
    <t>" 875 MG + 125 MG COMPRESSE RIVESTITE CON FILM  " 12 COMPRESSE</t>
  </si>
  <si>
    <t>AMOXICILLINA MYLAN GENERICS</t>
  </si>
  <si>
    <t>"5 G/100 ML POLVERE PER SOSPENSIONE ORALE" FLACONE 100 ML</t>
  </si>
  <si>
    <t>AMOXICILLINA SODICA K24 PHARMACEUTICALS</t>
  </si>
  <si>
    <t>AMOXICILLINA SODICA</t>
  </si>
  <si>
    <t>"500 MG POLVERE PER SOLUZIONE INIETTABILE" 50 FLACONI</t>
  </si>
  <si>
    <t>K24 PHARMACEUTICALS S.R.L.</t>
  </si>
  <si>
    <t>" 1 G POLVERE PER SOLUZIONE INIETTABILE" 50 FLACONI</t>
  </si>
  <si>
    <t>AMOXICILLINA TECNIGEN</t>
  </si>
  <si>
    <t>AMPICILLINA BIOPHARMA</t>
  </si>
  <si>
    <t>AMPICILLINA SODICA</t>
  </si>
  <si>
    <t>"500 MG/2,5 ML POLVERE E SOLVENTE PER SOLUZIONE INIETTABILE" 1 FLACONCINO POLVERE + 1 FIALA SOLVENTE DA 2,5 ML</t>
  </si>
  <si>
    <t>BIOPHARMA S.R.L.</t>
  </si>
  <si>
    <t>FLAC.NO 250 MG POLVERE SOLUZ INIETT+FIALA SOLV</t>
  </si>
  <si>
    <t>FLAC.NO 1000 MG POLVERE SOLUZ INIETT+FIALA SOLV</t>
  </si>
  <si>
    <t>AMPLITAL</t>
  </si>
  <si>
    <t>"500 MG POLVERE E SOLVENTE PER SOLUZIONE INIETTABILE" 1 FLACONCINO  + 1 FIALA 2,5 ML</t>
  </si>
  <si>
    <t>PFIZER ITALIA S.R.L.</t>
  </si>
  <si>
    <t>AMPICILLINA</t>
  </si>
  <si>
    <t>"500 MG CAPSULE RIGIDE" 12 CAPSULE</t>
  </si>
  <si>
    <t>AMPICILLINA TRIIDRATA</t>
  </si>
  <si>
    <t>"1 G COMPRESSE"12 COMPRESSE</t>
  </si>
  <si>
    <t>"1 G POLVERE E SOLVENTE PER SOLUZIONE INIETTABILE" 1 FLACONCINO + 1 FIALA 4 ML</t>
  </si>
  <si>
    <t>AMYVID</t>
  </si>
  <si>
    <t>800 MBQ/ML SOLUZIONE INIETTABILE - USO ENDOVENOSO - FLACONCINO (VETRO) (1-15 ML CONCENTRAZIONE) 1 FLACONCINO</t>
  </si>
  <si>
    <t>ELI LILLY NEDERLAND B.V.</t>
  </si>
  <si>
    <t>1900 MBQ/ML SOLUZIONE INIETTABILE - USO ENDOVENOSO - FLACONCINO (VETRO) (1-15 ML CONCENTRAZIONE) 1 FLACONCINO</t>
  </si>
  <si>
    <t>ANAFRANIL</t>
  </si>
  <si>
    <t>CLOMIPRAMINA CLORIDRATO</t>
  </si>
  <si>
    <t>"75 MG COMPRESSE A RILASCIO PROLUNGATO" 20 COMPRESSE A RILASCIO PROLUNGATO</t>
  </si>
  <si>
    <t>ALFASIGMA S.P.A.</t>
  </si>
  <si>
    <t>ANASTROZOLO SUN</t>
  </si>
  <si>
    <t>ANASTROZOLO</t>
  </si>
  <si>
    <t>"1 MG COMPRESSE RIVESTITE CON FILM" 28 COMPRESSE IN BLISTER PVC/AL</t>
  </si>
  <si>
    <t>ANATETALL</t>
  </si>
  <si>
    <t>VACCINO TETANICO ADSORBITO</t>
  </si>
  <si>
    <t>"SOSPENSIONE INIETTABILE IN SIRINGA PRE-RIEMPITA" 1 SIRINGA PRE-RIEMPITA DA 0,5 ML</t>
  </si>
  <si>
    <t>GLAXOSMITHKLINE VACCINES S.R.L.</t>
  </si>
  <si>
    <t>Problemi produttivi: distribuzione contingentata (carenza relativa solo al canale retail)</t>
  </si>
  <si>
    <t>Il medicinale sarà in cessata commercializzazione permanente dal 28/02/2021</t>
  </si>
  <si>
    <t>ANDRIOL</t>
  </si>
  <si>
    <t>TESTOSTERONE UNDECANOATO</t>
  </si>
  <si>
    <t>" 40 MG CAPSULE MOLLI" 60 CAPSULE</t>
  </si>
  <si>
    <t>MSD ITALIA S.R.L.</t>
  </si>
  <si>
    <t>medicinale attualmente disponibile</t>
  </si>
  <si>
    <t>ANDROCUR</t>
  </si>
  <si>
    <t>CIPROTERONE ACETATO</t>
  </si>
  <si>
    <t>"50 MG COMPRESSE"  25 COMPRESSE</t>
  </si>
  <si>
    <t>ANGELIQ</t>
  </si>
  <si>
    <t>ESTRADIOLO EMIIDRATO/DROSPIRENONE</t>
  </si>
  <si>
    <t>1 BLISTER PVC/AL DA 28 COMPRESSE RIVESTITE CON FILM DA 1 MG/2MG</t>
  </si>
  <si>
    <t>ANIDULAFUNGINA EG</t>
  </si>
  <si>
    <t>ANIDULAFUNGINA</t>
  </si>
  <si>
    <t>"100 MG POLVERE PER CONCENTRATO PER SOLUZIONE PER INFUSIONE" 1 FLACONCINO IN VETRO</t>
  </si>
  <si>
    <t>ANSEREN</t>
  </si>
  <si>
    <t>KETAZOLAM</t>
  </si>
  <si>
    <t>"45 MG CAPSULE RIGIDE" 10 CAPSULE</t>
  </si>
  <si>
    <t>PHOENIX LABS</t>
  </si>
  <si>
    <t>ANTAXONE</t>
  </si>
  <si>
    <t>NALTREXONE CLORIDRATO</t>
  </si>
  <si>
    <t>" 50 MG CAPSULE RIGIDE " 14 CAPSULE</t>
  </si>
  <si>
    <t>ZAMBON ITALIA S.R.L.</t>
  </si>
  <si>
    <t>ANTICOAGULANTE ACD FKI</t>
  </si>
  <si>
    <t>SODIO CITRATO/ACIDO CITRICO ANIDRO/GLUCOSIO (DESTROSIO) ANIDRO</t>
  </si>
  <si>
    <t>"SOLUZIONE ANTICOAGULANTE E CONSERVANTE PER IL SANGUE - FORMULA A" 15 SACCHE FLESSIBILI 500 ML</t>
  </si>
  <si>
    <t>ANTISTIN PRIVINA</t>
  </si>
  <si>
    <t>NAFAZOLINA/ANTAZOLINA</t>
  </si>
  <si>
    <t>"5 MG/ML + 0,25 MG/ML COLLIRIO, SOLUZIONE" FLACONE 10 ML</t>
  </si>
  <si>
    <t>LABORATOIRES THEA</t>
  </si>
  <si>
    <t>ANTRA</t>
  </si>
  <si>
    <t>OMEPRAZOLO</t>
  </si>
  <si>
    <t>"20 MG CAPSULE RIGIDE GASTRORESISTENTI" 14 CAPSULE IN BLISTER AL</t>
  </si>
  <si>
    <t>ASTRAZENECA S.P.A.</t>
  </si>
  <si>
    <t>"10 MG CAPSULE RIGIDE GASTRORESISTENTI" 14 CAPSULE IN BLISTER AL</t>
  </si>
  <si>
    <t>ANZATAX</t>
  </si>
  <si>
    <t>PACLITAXEL</t>
  </si>
  <si>
    <t>" 6 MG/ML CONCENTRATO PER SOLUZIONE PER INFUSIONE " FLACONE 5 ML</t>
  </si>
  <si>
    <t>" 6 MG/ML CONCENTRATO PER SOLUZIONE PER INFUSIONE " FLACONE 16,7 ML</t>
  </si>
  <si>
    <t>" 6 MG/ML CONCENTRATO PER SOLUZIONE PER INFUSIONE " FLACONE 25 ML</t>
  </si>
  <si>
    <t>" 6 MG/ML CONCENTRATO PER SOLUZIONE PER INFUSIONE " FLACONE 50 ML</t>
  </si>
  <si>
    <t>APLAKET</t>
  </si>
  <si>
    <t>TICLOPIDINA CLORIDRATO</t>
  </si>
  <si>
    <t>"250 MG COMPRESSE RIVESTITE" 30 COMPRESSE</t>
  </si>
  <si>
    <t>APPRYO</t>
  </si>
  <si>
    <t>PANTOPRAZOLO SODICO SESQUIDRATO</t>
  </si>
  <si>
    <t>" 20 MG COMPRESSE GRASTRORESISTENTI " 14 COMPRESSE IN BLISTER OPA/AL/PVC/AL</t>
  </si>
  <si>
    <t>KRKA D.D. NOVO MESTO</t>
  </si>
  <si>
    <t>APROKAM</t>
  </si>
  <si>
    <t>CEFUROXIMA</t>
  </si>
  <si>
    <t>"50 MG POLVERE PER SOLUZIONE INIETTABILE" 10 FLACONCINI IN VETRO DA 50 MG</t>
  </si>
  <si>
    <t>"50 MG POLVERE PER SOLUZIONE INIETTABILE" 1 FLACONCINO IN VETRO DA 50 MG</t>
  </si>
  <si>
    <t>APROVEL</t>
  </si>
  <si>
    <t>IRBESARTAN</t>
  </si>
  <si>
    <t>28 COMPRESSE 75 MG</t>
  </si>
  <si>
    <t>SANOFI-AVENTIS GROUPE</t>
  </si>
  <si>
    <t>ARAVA</t>
  </si>
  <si>
    <t>LEFLUNOMIDE</t>
  </si>
  <si>
    <t>10 MG COMPRESSE FILM RIVESTITE BLISTER 30 COMPRESSE USO ORALE</t>
  </si>
  <si>
    <t>SANOFI-AVENTIS DEUTSCHLAND GMBH</t>
  </si>
  <si>
    <t>ARCOXIA</t>
  </si>
  <si>
    <t>ETORICOXIB</t>
  </si>
  <si>
    <t>"30 MG COMPRESSE RIVESTITE CON FILM" 7 COMPRESSE IN BLISTER AL/AL</t>
  </si>
  <si>
    <t>"30 MG COMPRESSE RIVESTITE CON FILM" 28 COMPRESSE IN BLISTER AL/AL</t>
  </si>
  <si>
    <t>ARGONAL</t>
  </si>
  <si>
    <t>MESALAZINA</t>
  </si>
  <si>
    <t>"400 MG COMPRESSE GASTRORESISTENTI" 50 COMPRESSE</t>
  </si>
  <si>
    <t>DOMPE' FARMACEUTICI S.P.A.</t>
  </si>
  <si>
    <t>ARICEPT</t>
  </si>
  <si>
    <t>DONEPEZIL CLORIDRATO</t>
  </si>
  <si>
    <t>"5 MG COMPRESSE ORODISPERSIBILI" 28 COMPRESSE IN BLISTER PVC/PVDC/PE/PVDC/PVC/AL</t>
  </si>
  <si>
    <t>"10 MG COMPRESSE ORODISPERSIBILI" 28 COMPRESSE IN BLISTER PVC/PVDC/PE/PVDC/PVC/AL</t>
  </si>
  <si>
    <t>ARIPIPRAZOLO ACCORD</t>
  </si>
  <si>
    <t>ARIPIPRAZOLO</t>
  </si>
  <si>
    <t>5MG - COMPRESSA - USO ORALE - BLISTER (ALU/ALU) - 28X1 COMPRESSA (DOSE UNITARIA)</t>
  </si>
  <si>
    <t>10 MG - COMPRESSA - USO ORALE - BLISTER (ALU/ALU) - 28X1   COMPRESSA (DOSE UNITARIA)</t>
  </si>
  <si>
    <t>15 MG - COMPRESSA - USO ORALE - BLISTER (ALU/ALU) - 28X1 COMPRESSA (DOSE UNTARIA)</t>
  </si>
  <si>
    <t>ARIPIPRAZOLO MYLAN PHARMA</t>
  </si>
  <si>
    <t>5 MG - COMPRESSA - USO ORALE - BLISTER (PA/ALU/PVC/ALU) - 28 COMPRESSE</t>
  </si>
  <si>
    <t>MYLAN S.A.S.</t>
  </si>
  <si>
    <t>10 MG - COMPRESSA - USO ORALE - BLISTER (PA/ALU/PVC/ALU) - 28 COMPRESSE</t>
  </si>
  <si>
    <t>15 MG - COMPRESSA - USO ORALE - BLISTER (PA/ALU/PVC/ALU) - 28 COMPRESSE</t>
  </si>
  <si>
    <t>ARIPIPRAZOLO SANDOZ GMBH</t>
  </si>
  <si>
    <t>"10 MG COMPRESSE ORODISPERSIBILI" 28X1 COMPRESSE IN BLISTER CARTA/PET/AL/PVC/AL/OPA</t>
  </si>
  <si>
    <t>SANDOZ GMBH</t>
  </si>
  <si>
    <t>"15 MG COMPRESSE ORODISPERSIBILI" 28X1 COMPRESSE IN BLISTER CARTA/PET/AL/PVC/AL/OPA</t>
  </si>
  <si>
    <t>ARIPIPRAZOLO TEVA</t>
  </si>
  <si>
    <t>"5 MG COMPRESSE" 28 COMPRESSE IN BLISTER OPA/AL/PVC/AL</t>
  </si>
  <si>
    <t>la carenza è relativa sia al canale retail che al canale ospedaliero:                                                    - canale retail: inizio carenza 04/08/2020                                                 -  canale ospedaliero:inizio carenza 29/06/2020</t>
  </si>
  <si>
    <t>"10 MG COMPRESSE" 28 COMPRESSE IN BLISTER OPA/AL/PVC/AL</t>
  </si>
  <si>
    <t>la carenza è relativa sia al canale retail che al canale ospedaliero:                                                    - canale retail: inizio carenza 15/08/2020                                                 -  canale ospedaliero:inizio carenza 03/07/2020</t>
  </si>
  <si>
    <t>"15 MG COMPRESSE" 28 COMPRESSE IN BLISTER OPA/AL/PVC/AL</t>
  </si>
  <si>
    <t>Problemi produttivi (carenza relativa solo al canale ospedaliero)</t>
  </si>
  <si>
    <t>ARIPIPRAZOLO TEVA ITALIA</t>
  </si>
  <si>
    <t>"15 MG COMPRESSE ORODISPERSIBILI" 28 COMPRESSE IN BLISTER OPA/AL</t>
  </si>
  <si>
    <t>la carenza è relativa sia al canale retail che al canale ospedaliero:                                                    - canale retail: inizio carenza 18/10/2020                                               -  canale ospedaliero:inizio carenza 05/11/2020</t>
  </si>
  <si>
    <t>"10 MG COMPRESSE ORODISPERSIBILI" 28 COMPRESSE IN BLISTER OPA/AL</t>
  </si>
  <si>
    <t>ARTAXAN</t>
  </si>
  <si>
    <t>NABUMETONE</t>
  </si>
  <si>
    <t>"1 G COMPRESSE RIVESTITE" 30 COMPRESSE</t>
  </si>
  <si>
    <t>"1 G GRANULATO PER SOSPENSIONE ORALE" 30 BUSTINE</t>
  </si>
  <si>
    <t>ARTERPRESS</t>
  </si>
  <si>
    <t>IDROCLOROTIAZIDE + VALSARTAN</t>
  </si>
  <si>
    <t>"160 MG+12,5 MG COMPRESSE RIVESTITE CON FILM" 28 COMPRESSE</t>
  </si>
  <si>
    <t>EURO-PHARMA S.R.L.</t>
  </si>
  <si>
    <t>"320 MG+12,5 MG COMPRESSE RIVESTITE CON FILM" 28 COMPRESSE</t>
  </si>
  <si>
    <t>"320 MG+25 MG COMPRESSE RIVESTITE CON FILM" 28 COMPRESSE</t>
  </si>
  <si>
    <t>ASALEX</t>
  </si>
  <si>
    <t>"400 MG COMPRESSE GASTRORESISTENTI A RILASCIO MODIFICATO" 60 COMPRESSE</t>
  </si>
  <si>
    <t>CHIESI FARMACEUTICI S.P.A.</t>
  </si>
  <si>
    <t>ASAMAX</t>
  </si>
  <si>
    <t>"800 MG COMPRESSE GASTRORESISTENTI" 24 COMPRESSE</t>
  </si>
  <si>
    <t>WELLPHARMA S.R.L.</t>
  </si>
  <si>
    <t>"2 G/50 ML SOSPENSIONE RETTALE" 7 CONTENITORI MONODOSE DA 50 ML</t>
  </si>
  <si>
    <t>"4 G/100 ML SOSPENSIONE RETTALE" 7 CONTENITORI MONODOSE DA 100 ML</t>
  </si>
  <si>
    <t>ASAVIXIN</t>
  </si>
  <si>
    <t>"4 G SOSPENSIONE RETTALE" 7 CONTENITORI MONODOSE E 7 CANNULE RETTALI</t>
  </si>
  <si>
    <t>"2 G SOSPENSIONE RETTALE" 7 CONTENITORI MONODOSE E 7 CANNULE RETTALI</t>
  </si>
  <si>
    <t>"10%  GEL RETTALE" 20 CONTENITORI MONODOSE</t>
  </si>
  <si>
    <t>ASEPSAN</t>
  </si>
  <si>
    <t>IODOPOVIDONE</t>
  </si>
  <si>
    <t>"0,625% SOLUZIONE VAGINALE" 5 FLACONI A DOPPIA CAMERA 10 ML + 150 ML + 5 CANNULE</t>
  </si>
  <si>
    <t>ASMANEX</t>
  </si>
  <si>
    <t>MOMETASONE FUROATO</t>
  </si>
  <si>
    <t>"200 MCG POLVERE PER INALAZIONE" INALATORE TWISTHALER DA 60 DOSI</t>
  </si>
  <si>
    <t>"400 MCG POLVERE PER INALAZIONE" INALATORE TWISTHALER DA 30 DOSI</t>
  </si>
  <si>
    <t>ASPIRINA DOLORE E INFIAMMAZIONE</t>
  </si>
  <si>
    <t>ACIDO ACETILSALICILICO</t>
  </si>
  <si>
    <t>"500 MG COMPRESSE RIVESTITE" 8 COMPRESSE IN BLISTER AL/PE/CARTA</t>
  </si>
  <si>
    <t>ATAZANAVIR EG</t>
  </si>
  <si>
    <t>ATAZANAVIR</t>
  </si>
  <si>
    <t>"200 MG CAPSULE RIGIDE" 60 CAPSULE IN BLISTER AL-OPA/AL/PVC</t>
  </si>
  <si>
    <t>"300 MG CAPSULE RIGIDE" 30 CAPSULE IN BLISTER AL-OPA/AL/PVC</t>
  </si>
  <si>
    <t>ATAZANAVIR MYLAN</t>
  </si>
  <si>
    <t>200 MG - CAPSULA RIGIDA - USO ORALE - BLISTER (PVC/PVDC/AL) - 60 CAPSULE</t>
  </si>
  <si>
    <t>ATENIGRON</t>
  </si>
  <si>
    <t>ATENOLOLO/CLORTALIDONE</t>
  </si>
  <si>
    <t>"100 MG + 25 MG COMPRESSE" 28 COMPRESSE</t>
  </si>
  <si>
    <t>MAGIS FARMACEUTICI SRL</t>
  </si>
  <si>
    <t>ATITEN</t>
  </si>
  <si>
    <t>DIIDROTACHISTEROLO</t>
  </si>
  <si>
    <t>"1 MG/ML GOCCE ORALI, SOLUZIONE" FLACONE 15 ML</t>
  </si>
  <si>
    <t>TEOFARMA S.R.L.</t>
  </si>
  <si>
    <t>ATORVASTATINA AUROBINDO</t>
  </si>
  <si>
    <t>ATORVASTATINA</t>
  </si>
  <si>
    <t>"10 MG COMPRESSE RIVESTITE CON FILM" 30 COMPRESSE IN BLISTER PA/AL/PVC/AL</t>
  </si>
  <si>
    <t>"40 MG COMPRESSE RIVESTITE CON FILM" 30 COMPRESSE IN BLISTER PA/AL/PVC/AL</t>
  </si>
  <si>
    <t>ATORVASTATINA SUN</t>
  </si>
  <si>
    <t>"80 MG COMPRESSE RIVESTITE CON FILM" 30 COMPRESSE IN BLISTER OPA/AL/PE-HDPE/AL</t>
  </si>
  <si>
    <t>"40 MG COMPRESSE RIVESTITE CON FILM" 30 COMPRESSE IN BLISTER OPA/AL/PE-HDPE/AL</t>
  </si>
  <si>
    <t>"20 MG COMPRESSE RIVESTITE CON FILM" 30 COMPRESSE IN BLISTER OPA/AL/PE-HDPE/AL</t>
  </si>
  <si>
    <t>"10 MG COMPRESSE RIVESTITE CON FILM" 30 COMPRESSE IN BLISTER OPA/AL/PE-HDPE/AL</t>
  </si>
  <si>
    <t>"10 MG COMPRESSE RIVESTITE CON FILM" 30 COMPRESSE IN BLISTER AL/PVC/PA-AL</t>
  </si>
  <si>
    <t>"20 MG COMPRESSE RIVESTITE CON FILM" 30 COMPRESSE IN BLISTER AL/PVC/PA-AL</t>
  </si>
  <si>
    <t>"40 MG COMPRESSE RIVESTITE CON FILM" 30 COMPRESSE IN BLISTER AL/PVC/PA-AL</t>
  </si>
  <si>
    <t>"80 MG COMPRESSE RIVESTITE CON FILM" 30 COMPRESSE IN BLISTER AL/PVC/PA-AL</t>
  </si>
  <si>
    <t>ATOZET</t>
  </si>
  <si>
    <t>ATORVASTATINA + EZETIMIBE</t>
  </si>
  <si>
    <t>"10MG/40MG COMPRESSE RIVESTITE CON FILM" 30 COMPRESSE IN BLISTER AL/AL</t>
  </si>
  <si>
    <t>ATRACURIUM HAMELN</t>
  </si>
  <si>
    <t>5 FIALE DA 5 ML/10 MG DI SOLUZIONE INIETTABILE PER INFUSIONE</t>
  </si>
  <si>
    <t>HAMELN PHARMA PLUS GMBH</t>
  </si>
  <si>
    <t>Le confezioni importate saranno disponibili presumibilmente a partire dal 15/04/2020; si rilascia autorizzazione all’importazione alle strutture sanitarie per analogo autorizzato all'estero, in attesa della disponibilità delle confezioni importate o nel caso in cui le strutture interessate riscontrino difficoltà a reperire il medicinale importato dal titolare A.I.C.</t>
  </si>
  <si>
    <t>ATROPINA LUX</t>
  </si>
  <si>
    <t>ATROPINA SOLFATO</t>
  </si>
  <si>
    <t>"5 MG/ML COLLIRIO, SOLUZIONE"  1  FLACONE DA 10 ML</t>
  </si>
  <si>
    <t>ALLERGAN S.P.A.</t>
  </si>
  <si>
    <t>AUGMENTIN</t>
  </si>
  <si>
    <t>AMOXICILLINA SODICA/POTASSIO CLAVULANATO</t>
  </si>
  <si>
    <t>"1000 MG/20 ML POLVERE PER SOLUZIONE INIETTABILE PER INFUSIONE" 1 FLACONE + 1 FIALA SOLVENTE 20 ML</t>
  </si>
  <si>
    <t>GLAXOSMITHKLINE S.P.A.</t>
  </si>
  <si>
    <t>"2000 MG/200 MG POLVERE PER SOLUZIONE PER INFUSIONE" 1 FLACONE</t>
  </si>
  <si>
    <t>"1000 MG/200 MG POLVERE PER SOLUZIONE INIETTABILE O PER INFUSIONE" 10 FLACONCINI</t>
  </si>
  <si>
    <t>"2000 MG/200 MG POLVERE PER SOLUZIONE  PER INFUSIONE" 10 FLACONCINI</t>
  </si>
  <si>
    <t>AUREOMICINA</t>
  </si>
  <si>
    <t>CLORTETRACICLINA CLORIDRATO</t>
  </si>
  <si>
    <t>"1 % CREMA OFTALMICA" TUBO 3,5 G</t>
  </si>
  <si>
    <t>AVAXIM</t>
  </si>
  <si>
    <t>VACCINO EPATITICO A</t>
  </si>
  <si>
    <t>"0,5 ML SOSPENSIONE INIETTABILE" 1 SIRINGA PRERIEMPITA CON 2 AGHI SEPARATI</t>
  </si>
  <si>
    <t>SANOFI PASTEUR</t>
  </si>
  <si>
    <t>AZITROMICINA KRKA</t>
  </si>
  <si>
    <t>AZITROMICINA</t>
  </si>
  <si>
    <t>"500 MG COMPRESSE RIVESTITE CON FILM" 3 COMPRESSE IN BLISTER PVC/PVDC/AL</t>
  </si>
  <si>
    <t>AZOMYR</t>
  </si>
  <si>
    <t>5 MG 20 COMPRESSE RIVESTITE CON FILM USO ORALE</t>
  </si>
  <si>
    <t>AZYLUNG</t>
  </si>
  <si>
    <t>" 500 MG POLVERE PER SOLUZIONE PER INFUSIONE" 1 FLACONCINO IN VETRO</t>
  </si>
  <si>
    <t>INCA-PHARM S.R.L.</t>
  </si>
  <si>
    <t>BACACIL</t>
  </si>
  <si>
    <t>BACAMPICILLINA CLORIDRATO</t>
  </si>
  <si>
    <t>"1200 MG COMPRESSE RIVESTITE CON FILM" 12 COMPRESSE</t>
  </si>
  <si>
    <t>BACAMPICILLINA EUROGENERICI</t>
  </si>
  <si>
    <t>BACTRIM PERFUSIONE</t>
  </si>
  <si>
    <t>SULFAMETOSSAZOLO + TRIMETOPRIM</t>
  </si>
  <si>
    <t>"400 MG/5 ML + 80 MG/5 ML CONCENTRATO PER SOLUZIONE PER INFUSIONE" 1 FIALA 5 ML</t>
  </si>
  <si>
    <t>EUMEDICA PHARMACEUTICALS GMBH</t>
  </si>
  <si>
    <t>BAMIFIX</t>
  </si>
  <si>
    <t>BAMIFILLINA CLORIDRATO</t>
  </si>
  <si>
    <t>"600 MG COMPRESSE RIVESTITE"30 COMPRESSE</t>
  </si>
  <si>
    <t>BATRAFEN</t>
  </si>
  <si>
    <t>CICLOPIROX SALE DI OLAMINA</t>
  </si>
  <si>
    <t>"1% CREMA" 1 TUBO DA 30 G</t>
  </si>
  <si>
    <t>"1% POLVERE CUTANEA" 1 FLACONE DA 30 G</t>
  </si>
  <si>
    <t>BEBEN CLOROSSINA</t>
  </si>
  <si>
    <t>BETAMETASONE/CLOROSSINA</t>
  </si>
  <si>
    <t>"0,025% + 0,5% CREMA" 1 TUBO DA 30 G</t>
  </si>
  <si>
    <t>"0,1% + 0,5%  CREMA" 1 TUBO DA 30 G</t>
  </si>
  <si>
    <t>"0,1% + 0,5% EMULSIONE CUTANEA" 1 FLACONE 30 ML</t>
  </si>
  <si>
    <t>BENAZEPRIL SANDOZ</t>
  </si>
  <si>
    <t>BENAZEPRIL CLORIDRATO</t>
  </si>
  <si>
    <t>"10 MG COMPRESSE RIVESTITE CON FILM" 14 COMPRESSE IN BLISTER ACLAR/PVC/AL</t>
  </si>
  <si>
    <t>BENDAMUSTINA ACCORD</t>
  </si>
  <si>
    <t>BENDAMUSTINA CLORIDRATO</t>
  </si>
  <si>
    <t>"2,5 MG/ML POLVERE PER CONCENTRATO PER SOLUZIONE PER INFUSIONE" 5 FLACONCINI IN VETRO DA 100 MG</t>
  </si>
  <si>
    <t>BENDAMUSTINA DR. REDDY'S</t>
  </si>
  <si>
    <t>"2,5 MG/ML POLVERE PER CONCENTRATO PER SOLUZIONE PER INFUSIONE" 5 FLACONCINI IN VETRO DA 25 MG</t>
  </si>
  <si>
    <t>DR. REDDY'S S.R.L.</t>
  </si>
  <si>
    <t>BENEXOL</t>
  </si>
  <si>
    <t>TIAMINA/PIRIDOSSINA/CIANOCOBALAMINA</t>
  </si>
  <si>
    <t>"DOSAGGIO ALTO POLVERE E SOLVENTE PER SOLUZIONE INIETTABILE PER USO INTRAMUSCOLARE" 6 FIALE POLVERE + 6 FIALE SOLVENTE DA 2 ML</t>
  </si>
  <si>
    <t>"DOSAGGIO BASSO POLVERE E SOLVENTE PER SOLUZIONE INIETTABILE PER USO INTRAMUSCOLARE" 6 FIALE POLVERE + 6 FIALE SOLVENTE 2 ML</t>
  </si>
  <si>
    <t>BENZAC</t>
  </si>
  <si>
    <t>BENZOILPEROSSIDO</t>
  </si>
  <si>
    <t>"CLEAN 5% GEL" TUBO 100 G</t>
  </si>
  <si>
    <t>GALDERMA ITALIA S.P.A.</t>
  </si>
  <si>
    <t>"5% GEL" TUBO IN PE DA 15 G</t>
  </si>
  <si>
    <t>BEROMUN</t>
  </si>
  <si>
    <t>TASONERMINA</t>
  </si>
  <si>
    <t>1 MG POLVERE E SOLVENTE PER SOLUZIONE PER INFUSIONE 4 FLACONCINI + 4 FIALE</t>
  </si>
  <si>
    <t>BELPHARMA S.A.</t>
  </si>
  <si>
    <t>BETACOMPLESSO</t>
  </si>
  <si>
    <t>COMPLESSO VITAMINICO</t>
  </si>
  <si>
    <t>GRANULARE OS 10 BUSTINE</t>
  </si>
  <si>
    <t>MEDOSAN INDUSTRIE BIOCHIMICHE RIUNITE S.R.L.</t>
  </si>
  <si>
    <t>GRANULARE OS 20 BUSTINE</t>
  </si>
  <si>
    <t>BETADINE</t>
  </si>
  <si>
    <t>"10% SOLUZIONE CUTANEA" FLACONE 1 LITRO</t>
  </si>
  <si>
    <t>"10% SOLUZIONE CUTANEA"  FLACONE 1 LITRO SOLUZIONE ALCOOLICA</t>
  </si>
  <si>
    <t>BETAISTINA AUROBINDO</t>
  </si>
  <si>
    <t>BETAISTINA CLORIDRATO</t>
  </si>
  <si>
    <t>"16 MG COMPRESSE" 30 COMPRESSE IN BLISTER PA/AL/PVC/AL</t>
  </si>
  <si>
    <t>BEZAFIBRATO AUROBINDO</t>
  </si>
  <si>
    <t>BEZAFIBRATO</t>
  </si>
  <si>
    <t>" 400 MG COMPRESSE A RILASCIO PROLUNGATO " 30 CPR</t>
  </si>
  <si>
    <t>BICALUTAMIDE SUN PHARMA</t>
  </si>
  <si>
    <t>BICALUTAMIDE</t>
  </si>
  <si>
    <t>"150 MG COMPRESSE RIVESTITE CON FILM" 28 COMPRESSE IN BLISTER PVC/PVDC/AL</t>
  </si>
  <si>
    <t>BICALUTAMIDE SUN PHARMACEUTICAL INDUSTRIES LIMITED</t>
  </si>
  <si>
    <t>"50 MG COMPRESSE RIVESTITE CON FILM" 28 COMPRESSE IN BLISTER PVC/PVDC/AL</t>
  </si>
  <si>
    <t>BICALUTAMIDE TECNIGEN</t>
  </si>
  <si>
    <t>TECNIMEDE - SOCIEDADE TECNICO-MEDICINAL, SA</t>
  </si>
  <si>
    <t>BICALUTAMIDE TEVA</t>
  </si>
  <si>
    <t>BICNU</t>
  </si>
  <si>
    <t>CARMUSTINA</t>
  </si>
  <si>
    <t>"100 MG POLVERE E SOLVENTE PER CONCENTRATO PER SOLUZIONE PER INFUSIONE" 1 FLACONCINO IN VETRO DI POLVERE + 1 FLACONCINO IN VETRO DI SOLVENTE DA 5 ML</t>
  </si>
  <si>
    <t>TILLOMED ITALIA SRL</t>
  </si>
  <si>
    <t>BIDIEN</t>
  </si>
  <si>
    <t>BUDESONIDE</t>
  </si>
  <si>
    <t>"0,025% SOLUZIONE CUTANEA"FLACONE 30 ML</t>
  </si>
  <si>
    <t>IDI FARMACEUTICI S.R.L.</t>
  </si>
  <si>
    <t>BIMIXIN</t>
  </si>
  <si>
    <t>BACITRACINA/NEOMICINA</t>
  </si>
  <si>
    <t>"25.000 UI + 2.500 UI COMPRESSE" 16 COMPRESSE</t>
  </si>
  <si>
    <t>BINOCRIT</t>
  </si>
  <si>
    <t>EPOETINA ALFA</t>
  </si>
  <si>
    <t>"1000 UI/0,5 ML SOLUZIONE INIETTABILE IN SIRINGA PRERIEMPITA (VETRO)- USO SOTTOCUTANEO O ENDOVENOSO - 0,5ML (2000 UI/ML)" 1 SIRINGA PRERIEMPITA</t>
  </si>
  <si>
    <t>"3000 UI/3,0 ML SOLUZIONE INIETTABILE IN SIRINGA PRERIEMPITA (VETRO) - USO SOTTOCUTANEO O ENDOVENOSO- 0,3 ML (10000 UI/ML)" 1 SIRINGA PRERIEMPITA</t>
  </si>
  <si>
    <t>"8000 UI/0,8 ML SOLUZIONE INIETTABILE IN SIRINGA PRERIEMPITA (VETRO) - USO SOTTOCUTANEO O ENDOVENOSO- 0,8 ML (10000 UI/ML)" 6 SIRINGHE PRERIEMPITE</t>
  </si>
  <si>
    <t>"8000 UI/0,8 ML SOLUZIONE INIETTABILE IN SIRINGA PRERIEMPITA (VETRO) - USO SOTTOCUTANEO O ENDOVENOSO- 0,8 ML (10000 UI/ML)" 1 SIRINGA PRERIEMPITA</t>
  </si>
  <si>
    <t>"6000 UI/0,6 ML SOLUZIONE INIETTABILE IN SIRINGA PRERIEMPITA (VETRO) - USO SOTTOCUTANEO O ENDOVENOSO- 0,6 ML (10000 UI/ML)" 6 SIRINGHE PRERIEMPITE</t>
  </si>
  <si>
    <t>"6000 UI/0,6 ML SOLUZIONE INIETTABILE IN SIRINGA PRERIEMPITA (VETRO) - USO SOTTOCUTANEO O ENDOVENOSO- 0,6 ML (10000 UI/ML)" 1 SIRINGA PRERIEMPITA</t>
  </si>
  <si>
    <t>"5000 UI/0,5 ML SOLUZIONE INIETTABILE IN SIRINGA PRERIEMPITA (VETRO) - USO SOTTOCUTANEO O ENDOVENOSO- 0,5 ML (10000 UI/ML)" 6 SIRINGHE PRERIEMPITE</t>
  </si>
  <si>
    <t>"5000 UI/0,5 ML SOLUZIONE INIETTABILE IN SIRINGA PRERIEMPITA (VETRO) - USO SOTTOCUTANEO O ENDOVENOSO- 0,5 ML (10000 UI/ML)" 1 SIRINGA PRERIEMPITA</t>
  </si>
  <si>
    <t>"40000 UI/1,0 ML-SOLUZIONE INIETTABILE IN SIRINGA PRERIEMPITA -(VETRO)-USO SOTTOCUTANEO O ENDOVENOSO-1,0 ML(40000UI)"1 SIRINGA PRERIEMPITA</t>
  </si>
  <si>
    <t>"4000 UI/0,4 ML SOLUZIONE INIETTABILE IN SIRINGA PRERIEMPITA (VETRO) - USO SOTTOCUTANEO O ENDOVENOSO- 0,4 ML (10000 UI/ML)" 6 SIRINGHE PRERIEMPITE</t>
  </si>
  <si>
    <t>"4000 UI/0,4 ML SOLUZIONE INIETTABILE IN SIRINGA PRERIEMPITA (VETRO) - USO SOTTOCUTANEO O ENDOVENOSO- 0,4 ML (10000 UI/ML)" 1 SIRINGA PRERIEMPITA</t>
  </si>
  <si>
    <t>" 30000 UI/0,75 ML-SOLUZIONE INIETTABILE IN SIRINGA PRERIEMPITA -(VETRO)-USO SOTTOCUTANEO O ENDOVENOSO-0,75ML(40000UI/ML)"1 SIRINGA PRERIEMPITA</t>
  </si>
  <si>
    <t>"3000 UI/3,0 ML SOLUZIONE INIETTABILE IN SIRINGA PRERIEMPITA (VETRO) - USO SOTTOCUTANEO O ENDOVENOSO- 0,3 ML (10000 UI/ML)" 6 SIRINGHE PRERIEMPITE</t>
  </si>
  <si>
    <t>"20000 UI/0,5 ML-SOLUZIONE INIETTABILE IN SIRINGA PRERIEMPITA -(VETRO)-USO SOTTOCUTANEO O ENDOVENOSO-0,5ML(40000UI/ML)"1 SIRINGA PRERIEMPITA</t>
  </si>
  <si>
    <t>"2000 UI/1,0 ML SOLUZIONE INIETTABILE IN SIRINGA PRERIEMPITA (VETRO) - USO SOTTOCUTANEO O ENDOVENOSO- 1,0ML (2000 UI/ML)" 6 SIRINGHE PRERIEMPITE</t>
  </si>
  <si>
    <t>"2000 UI/1,0 ML SOLUZIONE INIETTABILE IN SIRINGA PRERIEMPITA (VETRO) - USO SOTTOCUTANEO O ENDOVENOSO- 1,0ML (2000 UI/ML)" 1 SIRINGA PRERIEMPITA</t>
  </si>
  <si>
    <t>"10000 UI/1,0 ML SOLUZIONE INIETTABILE IN SIRINGA PRERIEMPITA (VETRO) - USO SOTTOCUTANEO O ENDOVENOSO- 1,0 ML (10000 UI/ML)" 6 SIRINGHE PRERIEMPITE</t>
  </si>
  <si>
    <t>"10000 UI/1,0 ML SOLUZIONE INIETTABILE IN SIRINGA PRERIEMPITA (VETRO) - USO SOTTOCUTANEO O ENDOVENOSO- 1,0 ML (10000 UI/ML)" 1 SIRINGA PRERIEMPITA</t>
  </si>
  <si>
    <t>"1000 UI/0,5 ML SOLUZIONE INIETTABILE IN SIRINGA PRERIEMPITA (VETRO) - USO SOTTOCUTANEO O ENDOVENOSO- 0,5 ML (2000 UI/ML)" 6 SIRINGHE PRERIEMPITE</t>
  </si>
  <si>
    <t>BIOCHETASI</t>
  </si>
  <si>
    <t>SODIO CITRATO/POTASSIO CITRATO/COMPLESSO VITAMINICO</t>
  </si>
  <si>
    <t>IM 5 F. LIOF.+ 5 F. SOLV.</t>
  </si>
  <si>
    <t>BISOLVON</t>
  </si>
  <si>
    <t>BROMEXINA CLORIDRATO</t>
  </si>
  <si>
    <t>" 8 MG COMPRESSE SOLUBILI " 16 COMPRESSE IN BLISTER</t>
  </si>
  <si>
    <t>BISOPROLOLO AUROBINDO PHARMA ITALIA</t>
  </si>
  <si>
    <t>BISOPROLOLO FUMARATO</t>
  </si>
  <si>
    <t>"1,25 MG COMPRESSE RIVESTITE CON FILM" 28 COMPRESSE IN BLISTER AL-AL</t>
  </si>
  <si>
    <t>BISOPROLOLO EG</t>
  </si>
  <si>
    <t>"5 MG COMPRESSE RIVESTITE CON FILM" 28 COMPRESSE IN BLISTER PVC/PE/PVDC/AL IN BUSTINA DI AL</t>
  </si>
  <si>
    <t>BISOPROLOLO KRKA</t>
  </si>
  <si>
    <t>BISOPROLOLO EMIFUMARATO</t>
  </si>
  <si>
    <t>"2,5 MG COMPRESSE RIVESTITE CON FILM" 28 COMPRESSE IN BLISTER AL/AL</t>
  </si>
  <si>
    <t>BISOPROLOLO MYLAN GENERICS</t>
  </si>
  <si>
    <t>"1.25 MG COMPRESSE" 28 COMPRESSE IN BLISTER PVC/PVDC/AL</t>
  </si>
  <si>
    <t>"2.5 MG COMPRESSE" 28 COMPRESSE IN BLISTER PVC/PVDC/AL</t>
  </si>
  <si>
    <t>"3.75 MG COMPRESSE" 28 COMPRESSE IN BLISTER PVC/PVDC/AL</t>
  </si>
  <si>
    <t>"10 MG COMPRESSE" 28 COMPRESSE IN BLISTER PVC/PVDC/AL</t>
  </si>
  <si>
    <t>BISOPROLOLO PENSA PHARMA</t>
  </si>
  <si>
    <t>" 3,75 MG COMPRESSE " 28 COMPRESSE IN BLISTER PVC/PVDC</t>
  </si>
  <si>
    <t>BIVALIRUDINA ACCORD</t>
  </si>
  <si>
    <t>BIVALIRUDINA</t>
  </si>
  <si>
    <t>"250 MG POLVERE PER CONCENTRATO PER SOLUZIONE INIETTABILE E PER INFUSIONE" 1 FLACONCINO IN VETRO</t>
  </si>
  <si>
    <t>BLEOPRIM</t>
  </si>
  <si>
    <t>BLEOMICINA SOLFATO</t>
  </si>
  <si>
    <t>" 15 MG POLVERE PER SOLUZIONE INIETTABILE " 1 FLACONCINO</t>
  </si>
  <si>
    <t>Piano di contingentamento delle confezioni disponibili; gli ordini saranno parzialmente evasi dal titolare AIC. Per eventuali scorte di reparto AIFA rilascia autorizzazione all’importazione alle strutture sanitarie per analogo autorizzato all'estero</t>
  </si>
  <si>
    <t>BLISSEL</t>
  </si>
  <si>
    <t>ESTRIOLO</t>
  </si>
  <si>
    <t>"50 MICROGRAMMI/G GEL VAGINALE" TUBO IN AL DA 30 G CON 30 CANNULE MONOUSO</t>
  </si>
  <si>
    <t>ITALFARMACO S.P.A.</t>
  </si>
  <si>
    <t>BLOPRESS</t>
  </si>
  <si>
    <t>CANDESARTAN CILEXETIL</t>
  </si>
  <si>
    <t>28 COMPRESSE 16 MG</t>
  </si>
  <si>
    <t>TAKEDA ITALIA S.P.A.</t>
  </si>
  <si>
    <t>BLUMIRTAX</t>
  </si>
  <si>
    <t>MIRTAZAPINA</t>
  </si>
  <si>
    <t>"15 MG COMPRESSE ORODISPERSIBILI" 6 COMPRESSE IN BLISTER PA/AL/PVC/CARTA/POLIESTERE/AL</t>
  </si>
  <si>
    <t>"30 MG COMPRESSE ORODISPERSIBILI" 30 COMPRESSE IN BLISTER PA/AL/PVC/CARTA/POLIESTERE/AL</t>
  </si>
  <si>
    <t>BONLAX S. PELLEGRINO</t>
  </si>
  <si>
    <t>GLICEROLO</t>
  </si>
  <si>
    <t>"ADULTI 6,75 G/9 G SOLUZIONE RETTALE" 6 CONTENITORI MONODOSE</t>
  </si>
  <si>
    <t>BOROCAINA GOLA</t>
  </si>
  <si>
    <t>CETILPIRIDINIO CLORURO</t>
  </si>
  <si>
    <t>"1,5 MG PASTIGLIE GUSTO ARANCIA" 20 PASTIGLIE</t>
  </si>
  <si>
    <t>BOSENTAN ACCORD</t>
  </si>
  <si>
    <t>BOSENTAN</t>
  </si>
  <si>
    <t>"62,5 MG COMPRESSE RIVESTITE CON FILM" 56 COMPRESSE IN BLISTER PVC/PE/PVDC-AL</t>
  </si>
  <si>
    <t>"125 MG COMPRESSE RIVESTITE CON FILM" 56 COMPRESSE IN BLISTER PVC/PE/PVDC-AL</t>
  </si>
  <si>
    <t>BOSENTAN MEDAC</t>
  </si>
  <si>
    <t>BOSENTAN MONOIDRATO</t>
  </si>
  <si>
    <t>" 62,5 MG COMPRESSE RIVESTITE CON FILM " 56 COMPRESSE IN BLISTER PVC/ACLAR/AL</t>
  </si>
  <si>
    <t>MEDAC PHARMA SRL</t>
  </si>
  <si>
    <t>BOSENTAN MYLAN</t>
  </si>
  <si>
    <t>"62,5 MG COMPRESSE RIVESTITE CON FILM" 56X1 COMPRESSE IN BLISTER PVDC/PVC/AL</t>
  </si>
  <si>
    <t>BOSENTAN SUN</t>
  </si>
  <si>
    <t>62,5 MG COMPRESSE RIVESTITE CON FILM" 56 COMPRESSE IN BLISTER PVC/PE/PVDC/AL</t>
  </si>
  <si>
    <t>"125 MG COMPRESSE RIVESTITE CON FILM" 56 COMPRESSE IN BLISTER PVC/PE/PVDC/AL</t>
  </si>
  <si>
    <t>BOSENTAN TEVA</t>
  </si>
  <si>
    <t>"62,5 MG COMPRESSE RIVESTITE CON FILM" 56 X 1 COMPRESSE IN BLISTER PVC/ACLAR/PVC/AL</t>
  </si>
  <si>
    <t>BOSENTAN ZENTIVA</t>
  </si>
  <si>
    <t>"62,5 MG COMPRESSE RIVESTITE CON FILM" 56 COMPRESSE IN BLISTER PVC/PE/PVDC/AL</t>
  </si>
  <si>
    <t>Problemi commerciali</t>
  </si>
  <si>
    <t>BRAUNOL</t>
  </si>
  <si>
    <t>" 7,5% SOLUZIONE CUTANEA " 20 FLACONI 100 ML</t>
  </si>
  <si>
    <t>B. BRAUN MELSUNGEN AG</t>
  </si>
  <si>
    <t>" 7,5 % SOLUZIONE CUTANEA " 10 FLACONI 1000 ML</t>
  </si>
  <si>
    <t>" 7,5 % SOLUZIONE CUTANEA " 20 FLACONI 500 ML ( 2% TENSIOATT.)</t>
  </si>
  <si>
    <t>" 7,5 % SOLUZIONE CUTANEA " 10 FLACONI 1000 ML ( 2% TENSIOATT. )</t>
  </si>
  <si>
    <t>" 7,5 % SOLUZIONE CUTANEA " 20 FLACONI 250 ML</t>
  </si>
  <si>
    <t>" 7,5 % SOLUZIONE CUTANEA " 20 FLACONI 500 ML</t>
  </si>
  <si>
    <t>BRAVELA</t>
  </si>
  <si>
    <t>DROSPIRENONE + ETINILESTRADIOLO</t>
  </si>
  <si>
    <t>"0,02 MG/3 MG COMPRESSE RIVESTITE CON FILM" 1 X (24+4) COMPRESSE IN BLISTER PVC/PVDC/AL</t>
  </si>
  <si>
    <t>EXELTIS ITALIA S.R.L.</t>
  </si>
  <si>
    <t>BREINURAL</t>
  </si>
  <si>
    <t>CITICOLINA SODICA</t>
  </si>
  <si>
    <t>" 1000 MG/4 ML SOLUZIONE INIETTABILE " 5 FIALE</t>
  </si>
  <si>
    <t>ESSETI FARMACEUTICI S.R.L.</t>
  </si>
  <si>
    <t>"500 MG/4 ML SOLUZIONE INIETTABILE" 5 FIALE</t>
  </si>
  <si>
    <t>BREVA</t>
  </si>
  <si>
    <t>SALBUTAMOLO/IPRATROPIO BROMURO</t>
  </si>
  <si>
    <t>AEROSOL DOSATO 200 INALAZIONI</t>
  </si>
  <si>
    <t>VALEAS SPA INDUSTRIA CHIMICA E FARMACEUTICA</t>
  </si>
  <si>
    <t>BREXIDOLART</t>
  </si>
  <si>
    <t>PIROXICAM</t>
  </si>
  <si>
    <t>"10 MG/G SCHIUMA CUTANEA" CONTENITORE SOTTO PRESSIONE DA 50 G</t>
  </si>
  <si>
    <t>BREXIVEL</t>
  </si>
  <si>
    <t>"20 MG/1 ML SOLUZIONE INIETTABILE PER USO INTRAMUSCOLARE" 6 FIALE 1 ML</t>
  </si>
  <si>
    <t>PROMEDICA S.R.L.</t>
  </si>
  <si>
    <t>BRIOVITASE</t>
  </si>
  <si>
    <t>POTASSIO ASPARTATO/MAGNESIO ASPARTATO</t>
  </si>
  <si>
    <t>"450 MG+ 450 MG POLVERE PER SOSPENSIONE ORALE" 10 BUSTINE</t>
  </si>
  <si>
    <t>MONTEFARMACO OTC S.P.A.</t>
  </si>
  <si>
    <t>" 450 MG+450 MG POLVERE PER SOSPENSIONE ORALE " 14 BUSTINE</t>
  </si>
  <si>
    <t>BROMAZEPAM ALMUS</t>
  </si>
  <si>
    <t>BROMAZEPAM</t>
  </si>
  <si>
    <t>" 3 MG COMPRESSE " 20 CPR</t>
  </si>
  <si>
    <t>" 1,5 MG COMPRESSE " 20 CPR</t>
  </si>
  <si>
    <t>BROMAZEPAM AUROBINDO</t>
  </si>
  <si>
    <t>"2,5 MG/ML  GOCCE ORALI, SOLUZIONE " FLACONE 20 ML</t>
  </si>
  <si>
    <t>BROMAZEPAM PENSA</t>
  </si>
  <si>
    <t>" 3 MG COMPRESSE " 20 COMPRESSE</t>
  </si>
  <si>
    <t>" 1,5 MG COMPRESSE " 20 COMPRESSE</t>
  </si>
  <si>
    <t>BROMAZEPAM SUN</t>
  </si>
  <si>
    <t>" 2,5 MG/ML GOCCE ORALI, SOLUZIONE " FLACONE 20 ML</t>
  </si>
  <si>
    <t>BRONCHO MUNAL</t>
  </si>
  <si>
    <t>LISATO BATTERICO POLIVALENTE</t>
  </si>
  <si>
    <t>"BAMBINI 3,5 MG GRANULATO PER SOSPENSIONE ORALE" 30 BUSTINE</t>
  </si>
  <si>
    <t>BRONCHO VAXOM</t>
  </si>
  <si>
    <t>"BAMBINI 3,5 MG GRANULATO PER SOSPENSIONE ORALE"  30 BUSTINE</t>
  </si>
  <si>
    <t>OM PHARMA SA</t>
  </si>
  <si>
    <t>BRUMETON COLLOIDALE</t>
  </si>
  <si>
    <t>BETAMETASONE/SULFACETAMIDE</t>
  </si>
  <si>
    <t>"0,1% + 10% COLLIRIO, SOLUZIONE" 1 FLACONE DA 5 ML</t>
  </si>
  <si>
    <t>BRUSCHETTINI S.R.L.</t>
  </si>
  <si>
    <t>BRUNIZINA</t>
  </si>
  <si>
    <t>NAFAZOLINA CLORIDRATO</t>
  </si>
  <si>
    <t>"0,1% COLLIRIO, SOLUZIONE" 1 FLACONE DA 10 ML</t>
  </si>
  <si>
    <t>BUCCOLAM</t>
  </si>
  <si>
    <t>MIDAZOLAM</t>
  </si>
  <si>
    <t>"10 MG - SOLUZIONE PER MUCOSA ORALE - PER MUCOSA ORALE - SIRINGA PRERIEMPITA (POLIPROPILENE) - 2 ML" 4 SIRINGHE PRERIEMPITE</t>
  </si>
  <si>
    <t>SHIRE SERVICES BVBA</t>
  </si>
  <si>
    <t>Elevata richiesta: forniture discontinue</t>
  </si>
  <si>
    <t>BUDEXAN</t>
  </si>
  <si>
    <t>" 0,5 MG/ML SOSPENSIONE DA NEBULIZZARE " 20 CONTENITORI MONODOSE DA 2 ML</t>
  </si>
  <si>
    <t>GENETIC S.P.A.</t>
  </si>
  <si>
    <t>BUPIVACAINA RECORDATI</t>
  </si>
  <si>
    <t>BUPIVACAINA CLORIDRATO</t>
  </si>
  <si>
    <t>"10MG/ML SOLUZIONE INIETTABILE IPERBARICA " 10 FIALE 2 ML</t>
  </si>
  <si>
    <t>RECORDATI INDUSTRIA CHIMICA E FARMACEUTICA S.P.A.</t>
  </si>
  <si>
    <t>BUPRENORFINA SUN</t>
  </si>
  <si>
    <t>" 2 MG COMPRESSE SUBLINGUALI" 7 COMPRESSE IN BLISTER PVC/PVDC/AL</t>
  </si>
  <si>
    <t>BUSCOPAN ANTIACIDO</t>
  </si>
  <si>
    <t>RANITIDINA CLORIDRATO</t>
  </si>
  <si>
    <t>"75 MG COMPRESSE EFFERVESCENTI" 10 COMPRESSE</t>
  </si>
  <si>
    <t>BUSCOPAN REFLUSSO</t>
  </si>
  <si>
    <t>"20 MG COMPRESSE GASTRORESISTENTI" 14 COMPRESSE IN BLISTER AL/AL</t>
  </si>
  <si>
    <t>BYDUREON</t>
  </si>
  <si>
    <t>EXENATIDE</t>
  </si>
  <si>
    <t>"2 MG-POLV.E SOLV.PER SOSP. INIETT.A RILASCIO PROLUNG.-USO SOTTOCUTANEO-POLV.: FLACONC. (VETRO),SOLV.:SIRINGA (VETRO)"4 X1KIT MONODOSE-1FLAC.+1SIRINGA</t>
  </si>
  <si>
    <t>ASTRAZENECA AB</t>
  </si>
  <si>
    <t>2 MG - POLVERE E SOLVENTE PER SOSPENSIONE INIETTABILE A RILASCIO PROLUNGATO IN PENNA PRERIEMPITA  - USO SOTTOCUTANEO -  PENNA PRERIEMPITA (VETRO)  2 MG  IN 0,65 ML -  4 PENNE PRERIEMPITE MONODOSE 1 AGO PER INIEZIONE DI RISERVA</t>
  </si>
  <si>
    <t>CABERGOLINA RATIOPHARM</t>
  </si>
  <si>
    <t>CABERGOLINA</t>
  </si>
  <si>
    <t>"0.5 MG COMPRESSE" 8 COMPRESSE IN CONTENITORE DI VETRO AMBRATO</t>
  </si>
  <si>
    <t>"1 MG COMPRESSE" 20 COMPRESSE IN CONTENITORE DI VETRO AMBRATO</t>
  </si>
  <si>
    <t>CABERGOLINA SANDOZ GMBH</t>
  </si>
  <si>
    <t>"0,5 MG COMPRESSE" 2 COMPRESSE IN FLACONE IN VETRO</t>
  </si>
  <si>
    <t>"0,5 MG COMPRESSE" 8 COMPRESSE IN FLACONE IN VETRO</t>
  </si>
  <si>
    <t>CAFERGOT</t>
  </si>
  <si>
    <t>ERGOTAMINA/CAFFEINA</t>
  </si>
  <si>
    <t>"1 MG + 100 MG COMPRESSE" 20 COMPRESSE</t>
  </si>
  <si>
    <t>AMDIPHARM LTD</t>
  </si>
  <si>
    <t>"2 MG + 100 MG SUPPOSTE" 5 SUPPOSTE</t>
  </si>
  <si>
    <t>CALCICOLD3</t>
  </si>
  <si>
    <t>CALCIO CARBONATO/COLECALCIFEROLO</t>
  </si>
  <si>
    <t>"1000 MG + 880 U.I. COMPRESSE EFFERVESCENTI" 30 COMPRESSE DIVISIBILI</t>
  </si>
  <si>
    <t>FIDIA FARMACEUTICI S.P.A.</t>
  </si>
  <si>
    <t>CALCIJEX</t>
  </si>
  <si>
    <t>CALCITRIOLO</t>
  </si>
  <si>
    <t>"1 MCG/ML SOLUZIONE INIETTABILE PER USO ENDOVENOSO"  25 FIALE 1 ML</t>
  </si>
  <si>
    <t>ABBVIE S.R.L.</t>
  </si>
  <si>
    <t>CALCIO LEVOFOLINATO TEVA</t>
  </si>
  <si>
    <t>CALCIO LEVOFOLINATO</t>
  </si>
  <si>
    <t>" 25 MG POLVERE PER SOLUZIONE INIETTABILE  " 1 FLACONCINO</t>
  </si>
  <si>
    <t>" 100 MG POLVERE PER SOLUZIONE PER INFUSIONE " 1 FLACONCINO</t>
  </si>
  <si>
    <t>" 175 MG POLVERE PER SOLUZIONE PER INFUSIONE " 1 FLACONCINO</t>
  </si>
  <si>
    <t>CALCIPARINA</t>
  </si>
  <si>
    <t>EPARINA CALCICA</t>
  </si>
  <si>
    <t>"5000 UI/0,2 ML SOLUZIONE INIETTABILE PER USO SOTTOCUTANEO" 10 FIALE</t>
  </si>
  <si>
    <t>"12500 UI/0,5 ML SOLUZIONE INIETTABILE PER USO SOTTOCUTANEO" 10 FIALE</t>
  </si>
  <si>
    <t>CALCIPOTRIOLO SANDOZ BV</t>
  </si>
  <si>
    <t>CALCIPOTRIOLO</t>
  </si>
  <si>
    <t>"0.05 MG/ML SOLUZIONE CUTANEA" 1 FLACONE HDPE CON EROGATORE  DA 30 ML</t>
  </si>
  <si>
    <t>SANDOZ BV</t>
  </si>
  <si>
    <t>CALCITRIOLO MYLAN GENERICS</t>
  </si>
  <si>
    <t>"0,5 MICROGRAMMI CAPSULE MOLLI" 30 CAPSULE</t>
  </si>
  <si>
    <t>CALCIUM SANDOZ</t>
  </si>
  <si>
    <t>CALCIO LATTOGLUCONATO/CALCIO CARBONATO</t>
  </si>
  <si>
    <t>"500 MG COMPRESSE EFFERVESCENTI" 20 COMPRESSE</t>
  </si>
  <si>
    <t>"1000 MG GRANULATO EFFERVESCENTE" 30 BUSTINE</t>
  </si>
  <si>
    <t>CALCO</t>
  </si>
  <si>
    <t>CALCITONINA DI SALMONE</t>
  </si>
  <si>
    <t>" 50 U.I. /ML SOLUZIONE INIETTABILE" 5 FIALE 1 ML</t>
  </si>
  <si>
    <t>"100 U.I. /ML SOLUZIONE INIETTABILE" 5 FIALE 1 ML</t>
  </si>
  <si>
    <t>CANDESARTAN AUROBINDO</t>
  </si>
  <si>
    <t>"32MG COMPRESSE" 28 COMPRESSE IN BLISTER PVC/PVDC-AL</t>
  </si>
  <si>
    <t>CANDESARTAN E IDROCLOROTIAZIDE AUROBINDO</t>
  </si>
  <si>
    <t>CANDESARTAN + IDROCLOROTIAZIDE</t>
  </si>
  <si>
    <t>"16 MG/12,5 MG COMPRESSE" 28 COMPRESSE IN BLISTER PVC/PVDC/AL</t>
  </si>
  <si>
    <t>"32 MG/12,5 MG COMPRESSE" 28 COMPRESSE IN BLISTER PVC/PVDC/AL</t>
  </si>
  <si>
    <t>"32 MG/25 MG COMPRESSE" 28 COMPRESSE IN BLISTER PVC/PVDC/AL</t>
  </si>
  <si>
    <t>CANDESARTAN MYLAN GENERICS</t>
  </si>
  <si>
    <t>"8 MG COMPRESSE" 28 COMPRESSE IN BLISTER PVC/AL</t>
  </si>
  <si>
    <t>"16 MG COMPRESSE" 28 COMPRESSE IN BLISTER PVC/AL</t>
  </si>
  <si>
    <t>CANDESARTAN MYLAN PHARMA</t>
  </si>
  <si>
    <t>" 16 MG COMPRESSE" 28 COMPRESSE IN BLISTER PVC/PVDC/AL</t>
  </si>
  <si>
    <t>CANDESARTAN SANDOZ</t>
  </si>
  <si>
    <t>" 16 MG COMPRESSE " 28 COMPRESSE IN BLISTER AL/AL</t>
  </si>
  <si>
    <t>CAPECITABINA ACCORD</t>
  </si>
  <si>
    <t>CAPECITABINA</t>
  </si>
  <si>
    <t>150 MG - COMPRESSA RIVESTITA CON FILM - USO ORALE - BLISTER (PVC/PVDC/ALU) - 60 COMPRESSE</t>
  </si>
  <si>
    <t>300 MG - COMPRESSA RIVESTITA CON FILM - USO ORALE - BLISTER (PVC/PVDC/ALU) - 60 COMPRESSE</t>
  </si>
  <si>
    <t>500 MG - COMPRESSA RIVESTITA CON FILM - USO ORALE - BLISTER (PVC/PVDC/ALU) - 120 COMPRESSE</t>
  </si>
  <si>
    <t>CAPECITABINA MEDAC</t>
  </si>
  <si>
    <t>"300 MG - COMPRESSA RIVESTITA CON FILM - USO ORALE - BLISTER (ALU/ALU)" 60 COMPRESSE</t>
  </si>
  <si>
    <t>MEDAC GESELLSCHAFT FUR KLINISCHE SPEZIALPRAPARATE MBH</t>
  </si>
  <si>
    <t>CAPECITABINA TEVA</t>
  </si>
  <si>
    <t>"500 MG - COMPRESSA RIVESTITA CON FILM - USO ORALE - BLISTER (PVC/PE/PVDC/ALU)" 120 COMRESSE</t>
  </si>
  <si>
    <t>"150 MG - COMPRESSA RIVESTITA CON FILM - USO ORALE - BLISTER (PVC/PE/PVDC/ALU)" 60 COMRESSE</t>
  </si>
  <si>
    <t>CAPECITABINA ZENTIVA</t>
  </si>
  <si>
    <t>"500 MG COMPRESSE RIVESTITE CON FILM" 120 COMPRESSE IN BLISTER AL/PVC/PE/PVDC</t>
  </si>
  <si>
    <t>CAPTOPRIL E IDROCLOROTIAZIDE HEXAL</t>
  </si>
  <si>
    <t>CAPTOPRIL + IDROCLOROTIAZIDE</t>
  </si>
  <si>
    <t>" 50 MG + 25 MG COMPRESSE " 12 COMPRESSE</t>
  </si>
  <si>
    <t>CARBOCISTEINA IPSO PHARMA</t>
  </si>
  <si>
    <t>CARBOCISTEINA SALE DI LISINA</t>
  </si>
  <si>
    <t>" 2,7 G GRANULATO PER SOLUZIONE ORALE " 30 BUSTINE</t>
  </si>
  <si>
    <t>IPSO PHARMA S.R.L.</t>
  </si>
  <si>
    <t>" 2,7 G/ 10 ML SCIROPPO " 6 CONTENITORI MONODOSE</t>
  </si>
  <si>
    <t>" 90 MG/ ML SCIROPPO " 1 FLACONE DA 200 ML</t>
  </si>
  <si>
    <t>CARBOPLATINO AHCL</t>
  </si>
  <si>
    <t>CARBOPLATINO</t>
  </si>
  <si>
    <t>"10 MG/ML CONCENTRATO PER SOLUZIONE PER INFUSIONE" 1 FLACONCINO DI VETRO DA 15 ML</t>
  </si>
  <si>
    <t>"10 MG/ML CONCENTRATO PER SOLUZIONE PER INFUSIONE" 1 FLACONCINO DI VETRO DA 60 ML</t>
  </si>
  <si>
    <t>CARBOPLATINO AUROBINDO</t>
  </si>
  <si>
    <t>"10 MG/ML CONCENTRATO PER SOLUZIONE PER INFUSIONE" 1 FLACONCINO 50 MG/5 ML</t>
  </si>
  <si>
    <t>"10 MG/ML CONCENTRATO PER SOLUZIONE PER INFUSIONE" 1 FLACONCINO 150 MG/15 ML</t>
  </si>
  <si>
    <t>"10 MG/ML CONCENTRATO PER SOLUZIONE PER INFUSIONE" 1 FLACONCINO 450 MG/45 ML</t>
  </si>
  <si>
    <t>"10 MG/ML CONCENTRATO PER SOLUZIONE PER INFUSIONE" 1 FLACONCINO 600 MG/60 ML</t>
  </si>
  <si>
    <t>CARBOPLATINO PFIZER ITALIA</t>
  </si>
  <si>
    <t>"50 MG/5 ML SOLUZIONE INIETTABILE PER USO ENDOVENOSO" 1 FLACONE 5 ML</t>
  </si>
  <si>
    <t>"150 MG/15 ML SOLUZIONE INIETTABILE PER USO ENDOVENOSO" 1 FLACONE 15 ML</t>
  </si>
  <si>
    <t>"450 MG/45 ML SOLUZIONE INIETTABILE PER USO ENDOVENOSO" 1 FLACONE 45 ML</t>
  </si>
  <si>
    <t>"600 MG/60 ML SOLUZIONE INIETTABILE PER USO ENDOVENOSO" 1 FLACONE DA 60 ML</t>
  </si>
  <si>
    <t>CARDIOLITE</t>
  </si>
  <si>
    <t>TETRAKIS CU TETRAFLUOROBORATO/CLORURO STANNOSO DIIDRATO/LEVOCISTEINA CLORIDRATO MONOIDRATO</t>
  </si>
  <si>
    <t>"POLVERE PER SOLUZIONE INIETTABILE" 5 FLACONI 5 ML</t>
  </si>
  <si>
    <t>LANTHEUS MI UK LIMITED</t>
  </si>
  <si>
    <t>CARITEX</t>
  </si>
  <si>
    <t>CEFTRIAXONE DISODICO</t>
  </si>
  <si>
    <t>"1 G/3,5 ML POLVERE E SOLVENTE PER SOLUZIONE INIETTABILE PER USO INTRAMUSCOLARE "1 FLACONCINO POLVERE +  1 FIALA SOLVENTE DA 3,5 ML</t>
  </si>
  <si>
    <t>CARVEDILOLO ACCORD</t>
  </si>
  <si>
    <t>CARVEDILOLO</t>
  </si>
  <si>
    <t>"25 MG COMPRESSE" 30 COMPRESSE DIVISIBILI</t>
  </si>
  <si>
    <t>CASODEX</t>
  </si>
  <si>
    <t>"50 MG COMPRESSE RIVESTITE CON FILM" 28 COMPRESSE</t>
  </si>
  <si>
    <t>"150 MG COMPRESSE RIVESTITE CON FILM" 28 COMPRESSE</t>
  </si>
  <si>
    <t>CASPOFUNGIN EG</t>
  </si>
  <si>
    <t>CASPOFUNGIN</t>
  </si>
  <si>
    <t>"50 MG POLVERE PER CONCENTRATO PER SOLUZIONE PER INFUSIONE" 1 FLACONCINO IN VETRO</t>
  </si>
  <si>
    <t>CASPOFUNGIN SANDOZ GMBH</t>
  </si>
  <si>
    <t>"70 MG POLVERE PER CONCENTRATO PER SOLUZIONE PER INFUSIONE" 1 FLACONCINO IN VETRO</t>
  </si>
  <si>
    <t>CASPOFUNGIN SUN</t>
  </si>
  <si>
    <t>CATAPRESAN</t>
  </si>
  <si>
    <t>CLONIDINA CLORIDRATO</t>
  </si>
  <si>
    <t>"150 MICROGRAMMI COMPRESSE" 30 COMPRESSE</t>
  </si>
  <si>
    <t>Si rilascia autorizzazione all’importazione alle strutture sanitarie per analogo autorizzato all'estero, nel caso in cui le strutture interessate riscontrino difficoltà a reperire il medicinale importato dal titolare A.I.C.
vedere nota informativa:
https://www.aifa.gov.it/en/-/informazioni-e-aggiornamenti-sull-attuale-disponibilita-dei-medicinali-talofen-catapresan-depakin-chrono-ongentys-e-plaquenil</t>
  </si>
  <si>
    <t>"300 MICROGRAMMI COMPRESSE" 30 COMPRESSE</t>
  </si>
  <si>
    <t>vedere nota informativa:
https://www.aifa.gov.it/en/-/informazioni-e-aggiornamenti-sull-attuale-disponibilita-dei-medicinali-talofen-catapresan-depakin-chrono-ongentys-e-plaquenil</t>
  </si>
  <si>
    <t>CAVERJECT</t>
  </si>
  <si>
    <t>ALPROSTADIL</t>
  </si>
  <si>
    <t>"5 MCG/ML POLVERE E SOLVENTE PER SOLUZIONE  INIETTABILE " 1 FLACONE + 1 SIRINGA PRERIEMPITA DA 1 ML</t>
  </si>
  <si>
    <t>"10 MCG, POLVERE E SOLVENTE PER SOLUZIONE INIETTABILE" 2 CARTUCCE A DOPPIA CAMERA</t>
  </si>
  <si>
    <t>"10 MCG/ML POLVERE E SOLVENTE PER SOLUZIONE INIETTABILE " 1 FLACONE POLVERE + 1 SIRINGA PRERIEMPITA DA 1 ML</t>
  </si>
  <si>
    <t>CEBION</t>
  </si>
  <si>
    <t>ACIDO ASCORBICO</t>
  </si>
  <si>
    <t>"1 G GRANULATO" 10 BUSTINE GUSTO ARANCIA</t>
  </si>
  <si>
    <t>"1 G COMPRESSE EFFERVESCENTI" 10 COMPRESSE EFFERVESCENTI SENZA ZUCCHERO</t>
  </si>
  <si>
    <t>"1 G COMPRESSE EFFERVESCENTI" 10 COMPRESSE EFFERVESCENTI AL LIMONE</t>
  </si>
  <si>
    <t>"1 G COMPRESSE EFFERVESCENTI" 10 COMPRESSE EFFERVESCENTI ALL'ARANCIA</t>
  </si>
  <si>
    <t>CEDAX</t>
  </si>
  <si>
    <t>CEFTIBUTEN</t>
  </si>
  <si>
    <t>"400 MG CAPSULE RIGIDE" 6 CAPSULE</t>
  </si>
  <si>
    <t>CEFACLOR K24 PHARMACEUTICALS</t>
  </si>
  <si>
    <t>CEFACLORO MONOIDRATO</t>
  </si>
  <si>
    <t>"500 MG CAPSULE RIGIDE" 8 CAPSULE</t>
  </si>
  <si>
    <t>"250 MG/5 ML GRANULATO PER SOSPENSIONE ORALE" FLACONE 100 ML</t>
  </si>
  <si>
    <t>CEFAMANDOLO K24 PHARMACEUTICALS</t>
  </si>
  <si>
    <t>CEFAMANDOLO NAFATO</t>
  </si>
  <si>
    <t>"1 G POLVERE PER SOLUZIONE INIETTABILE" 50 FLACONI</t>
  </si>
  <si>
    <t>"1 G POLVERE PER SOLUZIONE INIETTABILE" 100 FLACONI</t>
  </si>
  <si>
    <t>CEFAZOLINA K24 PHARMACEUTICALS</t>
  </si>
  <si>
    <t>CEFAZOLINA SODICA</t>
  </si>
  <si>
    <t>"1 G/4 ML POLVERE E SOLVENTE PER SOLUZIONE INIETTABILE PER USO INTRAMUSCOLARE" 1 FLACONCINO POLVERE + 1 FIALA SOLVENTE 4 ML</t>
  </si>
  <si>
    <t>CEFAZOLINA PHARMACARE</t>
  </si>
  <si>
    <t>"1000 MG/4 ML POLVERE E SOLVENTE PER SOLUZIONE INIETTABILE PER USO INTRAMUSCOLARE" 1 FLACONCINO POLVERE + 1 FIALA SOLVENTE 4 ML</t>
  </si>
  <si>
    <t>CEFIXIMA MYLAN</t>
  </si>
  <si>
    <t>CEFIXIMA</t>
  </si>
  <si>
    <t>" 400 MG COMPRESSE RIVESTITE CON FILM " 5 COMPRESSE IN BLISTER PVC/PVDC/AL</t>
  </si>
  <si>
    <t>CEFIXIMA MYLAN GENERICS</t>
  </si>
  <si>
    <t>"100 MG/5 ML POLVERE PER SOSPENSIONE ORALE" FLACONE IN VETRO DA 100 ML CON PIPETTA DOSATRICE DA 5 ML</t>
  </si>
  <si>
    <t>CEFOTAXIMA SANDOZ</t>
  </si>
  <si>
    <t>CEFOTAXIMA SODICA</t>
  </si>
  <si>
    <t>" 1G/4 ML POLVERE E SOLVENTE PER SOLUZIONE INIETTABILE PER USO INTRAMUSCOLARE "1 FLACONE POLVERE + 1 FIALA SOLVENTE 4 ML</t>
  </si>
  <si>
    <t>" 1 G/4 ML  POLVERE E SOLVENTE PER SOLUZIONE INIETTABILE "1 FLACONE POLVERE + 1 FIALA SOLVENTE 4 ML</t>
  </si>
  <si>
    <t>" 2 G/10 ML  POLVERE E SOLVENTE PER SOLUZIONE INIETTABILE PER USO ENDOVENOSO "1 FLACONE POLVERE + 1 FIALA SOLVENTE 10 ML</t>
  </si>
  <si>
    <t>CEFOTAXIME PFIZER</t>
  </si>
  <si>
    <t>"1000 MG/4 ML  POLVERE E SOLVENTE PER SOLUZIONE  INIETTABILE"1 FLACONE POLVERE + 1 FIALA SOLVENTE 4 ML</t>
  </si>
  <si>
    <t>"2000 MG/10 ML  POLVERE E SOLVENTE PER SOLUZIONE INIETTABILE PER USO ENDOVENOSO"1 FLACONE POLVERE + 1 FIALA SOLVENTE 10 ML</t>
  </si>
  <si>
    <t>CEFTAZIDIMA BIOPHARMA</t>
  </si>
  <si>
    <t>CEFTAZIDIMA</t>
  </si>
  <si>
    <t>"500 MG/ 1,5 ML POLVERE E SOLVENTE PER SOLUZIONE INIETTABILE PER USO INTRAMUSCOLARE " 1 FLACONE POLVERE + FIALA SOLVENTE 1,5 ML</t>
  </si>
  <si>
    <t>"250 MG/ 1 ML POLVERE E SOLVENTE PER SOLUZIONE INIETTABILE PER USO INTRAMUSCOLARE " 1 FLACONE POLVERE + FIALA SOLVENTE 1 ML</t>
  </si>
  <si>
    <t>"1 G/3 ML POLVERE E SOLVENTE PER SOLUZIONE INIETTABILE PER USO INTRAMUSCOLARE " 1 FLACONCINO POLVERE + FIALA SOLVENTE DA 3 ML</t>
  </si>
  <si>
    <t>CEFTRIAXONE BIOPHARMA</t>
  </si>
  <si>
    <t>"2 G POLVERE PER SOLUZIONE PER INFUSIONE" 1 FLACONCINO</t>
  </si>
  <si>
    <t>CEFTRIAXONE FKI</t>
  </si>
  <si>
    <t>CEFTRIAXONE</t>
  </si>
  <si>
    <t>"2 G POLVERE PER SOLUZIONE PER INFUSIONE" 10 FLACONCINI IN VETRO DA 2 G</t>
  </si>
  <si>
    <t>CEFTRIAXONE GLAXOSMITHKLINE</t>
  </si>
  <si>
    <t>"500 MG/2 ML POLVERE E SOLVENTE PER SOLUZIONE INIETTABILE PER USO INTRAMUSCOLARE" 1 FLACONE POLVERE + 1 FIALA DA 2 ML</t>
  </si>
  <si>
    <t>"1 G/3,5 ML POLVERE E SOLVENTE PER SOLUZIONE INIETTABILE PER USO INTRAMUSCOLARE" 1 FLACONE POLVERE + 1 FIALA SOLVENTE DA 3,5 ML</t>
  </si>
  <si>
    <t>"1 G/10 ML POLVERE E SOLVENTE PER SOLUZIONE INIETTABILE PER USO ENDOVENOSO" 1 FLACONE POLVERE + FIALA SOLVENTE DA 10 ML</t>
  </si>
  <si>
    <t>"2 G POLVERE PER SOLUZIONE PER INFUSIONE" 1 FLACONE POLVERE</t>
  </si>
  <si>
    <t>CEFTRIAXONE KABI</t>
  </si>
  <si>
    <t>"1 G/ 3,5 ML POLVERE E SOLVENTE PER SOLUZIONE INIETTABILE PER USO INTRAMUSCOLARE " 1 FLACONE + 1 FIALA SOLVENTE 3,5 ML</t>
  </si>
  <si>
    <t>" 2 G POLVERE PER SOLUZIONE PER INFUSIONE " 1 FLACONE</t>
  </si>
  <si>
    <t>CEFTRIAXONE MYLAN GENERICS</t>
  </si>
  <si>
    <t>"2 G  POLVERE PER SOLUZIONE PER INFUSIONE" 1 FLACONE</t>
  </si>
  <si>
    <t>"1 G POLVERE PER SOLUZIONE INIETTABILE PER USO ENDOVENOSO " 1 FLACONE DI POLVERE</t>
  </si>
  <si>
    <t>CEFTRIAXONE PIAM FARMACEUTICI</t>
  </si>
  <si>
    <t>"1 G/ 3,5 ML POLVERE E SOLVENTE PER SOLUZIONE INIETTABILE PER USO INTRAMUSCOLARE" 1 FLACONCINO + FIALA SOLVENTE 3,5 ML</t>
  </si>
  <si>
    <t>PIAM FARMACEUTICI S.P.A.</t>
  </si>
  <si>
    <t>CEFTRIAXONE RATIOPHARM</t>
  </si>
  <si>
    <t>"500 MG/2 ML POLVERE E SOLVENTE PER SOLUZIONE INIETTABILE PER USO INTRAMUSCOLARE" 1 FLACONE + 1 FIALA SOLVENTE DA 2 ML</t>
  </si>
  <si>
    <t>"1 G/10 ML POLVERE E SOLVENTE PER SOLUZIONE INIETTABILE PER USO ENDOVENOSO" 1 FLACONE + 1 FIALA SOLVENTE DA 10 ML</t>
  </si>
  <si>
    <t>CEFUROXIMA K24 PHARMACEUTICALS</t>
  </si>
  <si>
    <t>CEFUROXIMA SODICA</t>
  </si>
  <si>
    <t>"750 MG POLVERE PER SOLUZIONE INIETTABILE" 100 FLACONI</t>
  </si>
  <si>
    <t>"1,5 G POLVERE PER SOLUZIONE PER INFUSIONE " 50 FLACONI</t>
  </si>
  <si>
    <t>"1,5 G POLVERE PER SOLUZIONE PER INFUSIONE " 100 FLACONI</t>
  </si>
  <si>
    <t>"1,5 G POLVERE PER SOLUZIONE PER INFUSIONE " 1 FLACONE</t>
  </si>
  <si>
    <t>CELECOXIB MYLAN PHARMA</t>
  </si>
  <si>
    <t>CELECOXIB</t>
  </si>
  <si>
    <t>"200 MG CAPSULE RIGIDE" 20 CAPSULE IN BLISTER PVC/AL</t>
  </si>
  <si>
    <t>CELECOXIB SUN</t>
  </si>
  <si>
    <t>"200 MG CAPSULE RIGIDE" 20 CAPSULE IN BLISTER PVC/ACLAR/AL</t>
  </si>
  <si>
    <t>CENTRUM</t>
  </si>
  <si>
    <t>CITIDINA/URIDINA</t>
  </si>
  <si>
    <t>"100 MG + 100 MG COMPRESSE" 20 COMPRESSE</t>
  </si>
  <si>
    <t>POLIFARMA S.P.A.</t>
  </si>
  <si>
    <t>"150 MG + 150 MG SOLUZIONE ORALE" 10 FLACONCINI 10 ML</t>
  </si>
  <si>
    <t>"150 MG + 150 MG POLVERE E SOLVENTE PER SOLUZIONE INIETTABILE" 5 FIALE LIOFILIZZATO + 5 FIALE SOLVENTE DA 5 ML</t>
  </si>
  <si>
    <t>CEPIMEX</t>
  </si>
  <si>
    <t>CEFEPIME</t>
  </si>
  <si>
    <t>"500MG/1,5ML POLVERE E SOLVENTE PER SOLUZIONE INIETTABILE" 1 FLACONE POLVERE+ 1 FIALA SOLVENTE 1,5 ML</t>
  </si>
  <si>
    <t>BRUNO FARMACEUTICI S.P.A.</t>
  </si>
  <si>
    <t>CEROXTERIL</t>
  </si>
  <si>
    <t>BENZALCONIO CLORURO + CLOREXIDINA DIGLUCONATO</t>
  </si>
  <si>
    <t>SOLUZIONE FLACONE 200 ML</t>
  </si>
  <si>
    <t>IBSA FARMACEUTICI ITALIA S.R.L.</t>
  </si>
  <si>
    <t>SOLUZIONE TANICA 5 LT</t>
  </si>
  <si>
    <t>SOLUZIONE FLACONE 500 ML</t>
  </si>
  <si>
    <t>SOLUZIONE FLACONE 300 ML</t>
  </si>
  <si>
    <t>"0,1% + 0,1% SOLUZIONE CUTANEA" FLACONE DA 30 ML CON EROGATORE</t>
  </si>
  <si>
    <t>SOLUZIONE FLACONE 250 ML</t>
  </si>
  <si>
    <t>SOLUZIONE FLACONE 1000 ML</t>
  </si>
  <si>
    <t>SOLUZIONE FLACONE 100 ML</t>
  </si>
  <si>
    <t>CETIRIZINA PHARMENTIS</t>
  </si>
  <si>
    <t>CETIRIZINA DICLORIDRATO</t>
  </si>
  <si>
    <t>"10 MG COMPRESSE RIVESTITE CON FILM" 20 COMPRESSE IN BLISTER PVC/PVDC/AL</t>
  </si>
  <si>
    <t>FARMAPRO S.R.L.</t>
  </si>
  <si>
    <t>CETIRIZINA SUN</t>
  </si>
  <si>
    <t>" 10 MG COMPRESSE " 20 COMPRESSE DIVISIBILI</t>
  </si>
  <si>
    <t>" 10 MG/ML GOCCE ORALI, SOLUZIONE " FLACONE DA 20 ML</t>
  </si>
  <si>
    <t>CETIRIZINA TEVA ITALIA</t>
  </si>
  <si>
    <t>" 10 MG COMPRESSE " 20 COMPRESSE IN BLISTER PVC/AL</t>
  </si>
  <si>
    <t>CETROTIDE</t>
  </si>
  <si>
    <t>CETRORELIX</t>
  </si>
  <si>
    <t>0,25 MG 7 FLACONI POLVERE + 7 SIRINGHE PRERIEMPITE SOLVENTE PER PREPARAZIONI INIETTABILI</t>
  </si>
  <si>
    <t>MERCK EUROPE B.V.</t>
  </si>
  <si>
    <t>CHAMPIONYL</t>
  </si>
  <si>
    <t>SULPIRIDE</t>
  </si>
  <si>
    <t>"50 MG CAPSULE RIGIDE" 30 CAPSULE RIGIDE</t>
  </si>
  <si>
    <t>CHAMPIX</t>
  </si>
  <si>
    <t>VARENICLINA TARTRATO</t>
  </si>
  <si>
    <t>"0,5 MG  E 1,0 MG COMPRESSE RIVESTITE CON FILM -USO ORALE" BLISTER (ACLAR/PVC/ALU) IN CONFEZIONAMENTO DI CARTONE 11 X 0,5 MG + 14 X 1 MG COMPRESSE</t>
  </si>
  <si>
    <t>CHINOPLUS</t>
  </si>
  <si>
    <t>PLURIFLOXACINA</t>
  </si>
  <si>
    <t>" 600 MG COMPRESSE RIVESTITE CON FILM " 1 COMPRESSA</t>
  </si>
  <si>
    <t>SPA SOCIETA' PRODOTTI ANTIBIOTICI S.P.A.</t>
  </si>
  <si>
    <t>CHIROCAINE</t>
  </si>
  <si>
    <t>LEVOBUPIVACAINA CLORIDRATO</t>
  </si>
  <si>
    <t>"2,5  MG/ML  SOLUZIONE  INIETTABILE/CONCENTRATO  PER_x000D_
SOLUZIONE PER INFUSIONE" 10 FIALE IN PP STERILE DA 10 ML</t>
  </si>
  <si>
    <t>"5  MG/ML  SOLUZIONE   INIETTABILE/CONCENTRATO   PER_x000D_
SOLUZIONE PER INFUSIONE" 10 FIALE IN PP STERILE DA 10 ML</t>
  </si>
  <si>
    <t>"7,5  MG/ML  SOLUZIONE  INIETTABILE/CONCENTRATO  PER_x000D_
SOLUZIONE PER INFUSIONE" 10 FIALE IN PP STERILE DA 10 ML</t>
  </si>
  <si>
    <t>"0,625 MG/ML SOLUZIONE PER INFUSIONE" 24 SACCHE DA 100_x000D_
ML</t>
  </si>
  <si>
    <t>"0,625 MG/ML SOLUZIONE PER INFUSIONE" 12 SACCHE DA 200_x000D_
ML</t>
  </si>
  <si>
    <t>"1,25 MG/ML SOLUZIONE PER INFUSIONE" 24 SACCHE DA  100_x000D_
ML</t>
  </si>
  <si>
    <t>"1,25 MG/ML SOLUZIONE PER INFUSIONE" 12 SACCHE DA  200_x000D_
ML</t>
  </si>
  <si>
    <t>CHLORAPREP</t>
  </si>
  <si>
    <t>ALCOOL ISOPROPILICO                                                                                        + CLOREXIDINA GLUCONATO</t>
  </si>
  <si>
    <t>"CON COLORANTE  2% W/V 70% V/V SOLUZIONE CUTANEA "  1 APPLICATORE DA 26 ML</t>
  </si>
  <si>
    <t>BECTON DICKINSON FRANCE S.A.S.</t>
  </si>
  <si>
    <t>"2% W/V / 70% V/V SOLUZIONE CUTANEA" 200 APPLICATORI SEPP DA 0,67 ML</t>
  </si>
  <si>
    <t>CIANOCOBALAMINA EG</t>
  </si>
  <si>
    <t>CIANOCOBALAMINA</t>
  </si>
  <si>
    <t>" 5000 MICROGRAMMI/2 ML SOLUZIONE INIETTABILE PER USO INTRAMUSCOLARE" 5 FIALE DA 2 ML</t>
  </si>
  <si>
    <t>CIBALGINAFOR</t>
  </si>
  <si>
    <t>IBUPROFENE SODICO</t>
  </si>
  <si>
    <t>" 400 MG GRANULATO PER SOLUZIONE ORALE " 12 BUSTINE</t>
  </si>
  <si>
    <t>VEMEDIA MANUFACTURING B.V.</t>
  </si>
  <si>
    <t>" 400 MG COMPRESSE RIVESTITE CON FILM " 10 COMPRESSE</t>
  </si>
  <si>
    <t>CICLADOL</t>
  </si>
  <si>
    <t>PIROXICAM BETACICLODESTRINA</t>
  </si>
  <si>
    <t>"20 MG GRANULATO PER SOLUZIONE ORALE"20 BUSTINE BIPARTITE</t>
  </si>
  <si>
    <t>MASTER PHARMA S.R.L.</t>
  </si>
  <si>
    <t>"20 MG COMPRESSE EFFERVESCENTI" 30 COMPRESSE</t>
  </si>
  <si>
    <t>"20 MG COMPRESSE"30 COMPRESSE</t>
  </si>
  <si>
    <t>"20 MG SUPPOSTE" 10 SUPPOSTE</t>
  </si>
  <si>
    <t>CICLOLUX</t>
  </si>
  <si>
    <t>CICLOPENTOLATO CLORIDRATO</t>
  </si>
  <si>
    <t>"10 MG/ML COLLIRIO, SOLUZIONE" 1 FLACONE DA 3 ML</t>
  </si>
  <si>
    <t>CINETRIN</t>
  </si>
  <si>
    <t>" 500 MG COMPRESSE RIVESTITE CON FILM " 3 COMPRESSE</t>
  </si>
  <si>
    <t>CIPERUS</t>
  </si>
  <si>
    <t>CIPROFLOXACINA CLORIDRATO MONOIDRATO</t>
  </si>
  <si>
    <t>" 250 MG COMPRESSE RIVESTITE CON FILM " 10 COMPRESSE</t>
  </si>
  <si>
    <t>ISTITUTO CHIMICO INTERNAZIONALE DR.GIUSEPPE RENDE S.R.L.</t>
  </si>
  <si>
    <t>CIPROFLOXACINA GIT</t>
  </si>
  <si>
    <t>" 750 MG COMPRESSE RIVESTITE CON FILM" 12 COMPRESSE</t>
  </si>
  <si>
    <t>CIPROFLOXACINA MYLAN GENERICS ITALIA</t>
  </si>
  <si>
    <t>CIPROFLOXACINA</t>
  </si>
  <si>
    <t>" 200 MG/100 ML SOLUZIONE PER INFUSIONE " 30 SACCHE IN POLYOLEFIN CON SITO D'INFUSIONE E SITO DI INIEZIONE</t>
  </si>
  <si>
    <t>" 400 MG/200 ML SOLUZIONE PER INFUSIONE " 15 SACCHE IN POLYOLEFIN CON SITO D'INFUSIONE  E SITO DI INIEZIONE</t>
  </si>
  <si>
    <t>CIPROFLOXACINA PHARMACARE</t>
  </si>
  <si>
    <t>" 250 MG COMPRESSE RIVESTITE CON FILM " 10 COMPRESSE IN BLISTER PVC/PE/PVDC/AL</t>
  </si>
  <si>
    <t>" 500 MG COMPRESSE RIVESTITE CON FILM " 6 COMPRESSE IN BLISTER PVC/PE/PVDC/AL</t>
  </si>
  <si>
    <t>" 750 MG COMPRESSE RIVESTITE CON FILM " 12 COMPRESSE IN BLISTER PVC/PE/PVDC/AL</t>
  </si>
  <si>
    <t>CIPROFLOXACINA SANDOZ</t>
  </si>
  <si>
    <t>"750 MG COMPRESSE RIVESTITE CON FILM" 12 COMPRESSE IN BLISTER PP/AL</t>
  </si>
  <si>
    <t>CIPROFLOXACINA SUN</t>
  </si>
  <si>
    <t>CIPROFLOXACINA CLORIDRATO</t>
  </si>
  <si>
    <t>"250 MG COMPRESSE RIVESTITE CON FILM" 10 COMPRESSE IN BLISTER PVC/PVDC/AL</t>
  </si>
  <si>
    <t>"500 MG COMPRESSE RIVESTITE CON FILM" 6 COMPRESSE IN BLISTER PVC/PVDC/AL</t>
  </si>
  <si>
    <t>CIPROXIN</t>
  </si>
  <si>
    <t>"500 MG COMPRESSE RIVESTITE A RILASCIO MODIFICATO" 3 COMPRESSE</t>
  </si>
  <si>
    <t>"1000 MG COMPRESSE RIVESTITE A RILASCIO MODIFICATO" 7 COMPRESSE</t>
  </si>
  <si>
    <t>CIQORIN</t>
  </si>
  <si>
    <t>CICLOSPORINA</t>
  </si>
  <si>
    <t>"10 MG CAPSULE MOLLI " 50 CAPSULE IN BLISTER OPA/AL/PVC-AL</t>
  </si>
  <si>
    <t>"25 MG CAPSULE MOLLI " 50 CAPSULE IN BLISTER OPA/AL/PVC-AL</t>
  </si>
  <si>
    <t>"50 MG CAPSULE MOLLI " 50 CAPSULE IN BLISTER OPA/AL/PVC-AL</t>
  </si>
  <si>
    <t>"100 MG CAPSULE MOLLI " 30 CAPSULE IN BLISTER OPA/AL/PVC-AL</t>
  </si>
  <si>
    <t>CISATRACURIO ACCORD</t>
  </si>
  <si>
    <t>CISATRACURIO BESILATO</t>
  </si>
  <si>
    <t>"2 MG/ML SOLUZIONE INIETTABILE/PER INFUSIONE" 5 FLACONCINI IN VETRO DA 2,5 ML</t>
  </si>
  <si>
    <t>"2 MG/ML SOLUZIONE INIETTABILE/PER INFUSIONE" 5 FLACONCINI IN VETRO DA 5 ML</t>
  </si>
  <si>
    <t>"2 MG/ML SOLUZIONE INIETTABILE/PER INFUSIONE" 5 FLACONCINI IN VETRO DA 10 ML</t>
  </si>
  <si>
    <t>"5 MG/ML SOLUZIONE INIETTABILE/PER INFUSIONE" 1 FLACONCINO IN VETRO DA 30 ML</t>
  </si>
  <si>
    <t>"5 MG/ML SOLUZIONE INIETTABILE/PER INFUSIONE" 5 FLACONCINI IN VETRO DA 30 ML</t>
  </si>
  <si>
    <t>CISATRACURIO KABI</t>
  </si>
  <si>
    <t>"2 MG/ML SOLUZIONE INIETTABILE O PER INFUSIONE" 5 FIALE DA 2,5 ML</t>
  </si>
  <si>
    <t>"2 MG/ML SOLUZIONE INIETTABILE O PER INFUSIONE" 5 FIALE DA 5 ML</t>
  </si>
  <si>
    <t>"2 MG/ML SOLUZIONE INIETTABILE O PER INFUSIONE" 5 FIALE DA 10 ML</t>
  </si>
  <si>
    <t>CISPLATINO ACCORD HEALTHCARE ITALIA</t>
  </si>
  <si>
    <t>CISPLATINO</t>
  </si>
  <si>
    <t>" 1MG/ML CONCENTRATO PER SOLUZIONE PER INFUSIONE " 1 FLACONCINO IN VETRO DA 10 ML</t>
  </si>
  <si>
    <t>"1 MG/ML CONCENTRATO PER SOLUZIONE PER INFUSIONE" 1 FLACONCINO IN VETRO DA 100 ML</t>
  </si>
  <si>
    <t>CISPLATINO PFIZER</t>
  </si>
  <si>
    <t>" 50 MG/50 ML SOLUZIONE PER INFUSIONE"1 FLACONE 50 ML</t>
  </si>
  <si>
    <t>CITALOPRAM  GERMED PHARMA</t>
  </si>
  <si>
    <t>CITALOPRAM BROMIDRATO</t>
  </si>
  <si>
    <t>40 MG COMPRESSE RIVESTITE CON FILM 14 COMPRESSE DIVISIBILI</t>
  </si>
  <si>
    <t>GERMED PHARMA S.R.L.</t>
  </si>
  <si>
    <t>20 MG COMPRESSE RIVESTITE CON FILM 28 COMPRESSE DIVISIBILI</t>
  </si>
  <si>
    <t>CITALOPRAM SANDOZ BV</t>
  </si>
  <si>
    <t>"40 MG COMPRESSE RIVESTITE CON FILM" 14 COMPRESSE IN BLISTER PVDC-PVC/AL</t>
  </si>
  <si>
    <t>CITALOPRAM SUN</t>
  </si>
  <si>
    <t>"40 MG COMPRESSE RIVESTITE CON FILM" 14 COMPRESSE IN BLISTER PVC/PVDC</t>
  </si>
  <si>
    <t>CITALOPRAM TECNIGEN</t>
  </si>
  <si>
    <t>CITALOPRAM CLORIDRATO</t>
  </si>
  <si>
    <t>" 20 MG COMPRESSE RIVESTITE CON FILM" 28 COMPRESSE</t>
  </si>
  <si>
    <t>CITARABINA ACCORD</t>
  </si>
  <si>
    <t>CITARABINA</t>
  </si>
  <si>
    <t>"100 MG/ML SOLUZIONE INIETTABILE O PER INFUSIONE" 1 FLACONCINO IN VETRO DA 20 ML</t>
  </si>
  <si>
    <t>CITICOLIN</t>
  </si>
  <si>
    <t>CITICOLINA</t>
  </si>
  <si>
    <t>"500 MG/4 ML SOLUZIONE INIETTABILE" 5 FIALE 4 ML</t>
  </si>
  <si>
    <t>"1000 MG/4 ML  SOLUZIONE INIETTABILE" 5 FIALE 4 ML</t>
  </si>
  <si>
    <t>CITICOLINA SANDOZ</t>
  </si>
  <si>
    <t>"1000 MG/4 ML SOLUZIONE INIETTABILE" 3 FIALE</t>
  </si>
  <si>
    <t>CITOFOLIN</t>
  </si>
  <si>
    <t>CALCIO FOLINATO</t>
  </si>
  <si>
    <t>"15 MG/ML POLVERE E SOLVENTE PER SOLUZIONE INIETTABILE" 6 FIALE POLVERE + 6 FIALE SOLVENTE DA 1 ML</t>
  </si>
  <si>
    <t>"15 MG POLVERE E SOLVENTE PER SOLUZIONE ORALE" 10 FLACONCINI</t>
  </si>
  <si>
    <t>CLARENS</t>
  </si>
  <si>
    <t>SULODEXIDE</t>
  </si>
  <si>
    <t>"600 ULS/2 ML SOLUZIONE INIETTABILE" 10 FIALE 2 ML</t>
  </si>
  <si>
    <t>"250 ULS CAPSULE MOLLI" 50 CAPSULE IN BLISTER PVC/PVDC-ALU/PVDC</t>
  </si>
  <si>
    <t>CLARITROMICINA DOC GENERICI</t>
  </si>
  <si>
    <t>CLARITROMICINA</t>
  </si>
  <si>
    <t>"250 MG COMPRESSE RIVESTITE CON FILM" 12 COMPRESSE IN BLISTER PVC/PVDC</t>
  </si>
  <si>
    <t>CLARITROMICINA PENSA</t>
  </si>
  <si>
    <t>" 250 MG COMPRESSE RIVESTITE CON FILM " 12 COMPRESSE</t>
  </si>
  <si>
    <t>" 500 MG COMPRESSE RIVESTITE CON FILM " 14 COMPRESSE</t>
  </si>
  <si>
    <t>CLARITROMICINA SUN PHARMA</t>
  </si>
  <si>
    <t>"250 MG COMPRESSE RIVESTITE CON FILM" 12 COMPRESSE IN BLISTER PVC/PVDC/AL</t>
  </si>
  <si>
    <t>"500 MG COMPRESSE RIVESTITE CON FILM" 14 COMPRESSE IN BLISTER PVC/PVDC/AL</t>
  </si>
  <si>
    <t>CLARITROMICINA TEVA</t>
  </si>
  <si>
    <t>"500 MG COMPRESSE RIVESTITE CON FILM" 14 COMPRESSE IN BLISTER PVC/AL</t>
  </si>
  <si>
    <t>"250 MG COMPRESSE RIVESTITE CON FILM" 12 COMPRESSE IN BLISTER PVC/AL</t>
  </si>
  <si>
    <t>CLENIL</t>
  </si>
  <si>
    <t>BECLOMETASONE</t>
  </si>
  <si>
    <t>"400 MICROGRAMMI POLVERE PER INALAZIONE" INALATORE PULVINAL 100 EROGAZIONI</t>
  </si>
  <si>
    <t>"200 MICROGRAMMI POLVERE PER INALAZIONE" INALATORE PULVINAL 100 EROGAZIONI</t>
  </si>
  <si>
    <t>"100 MICROGRAMMI POLVERE PER INALAZIONE" INALATORE PULVINAL 100 EROGAZIONI</t>
  </si>
  <si>
    <t>CLENIL COMPOSITUM</t>
  </si>
  <si>
    <t>BECLOMETASONE/SALBUTAMOLO</t>
  </si>
  <si>
    <t>"0,8 MG + 1,6 MG SOSPENSIONE DA NEBULIZZARE" 10 CONTENITORI MONODOSE 2 ML</t>
  </si>
  <si>
    <t>CLEVIAN</t>
  </si>
  <si>
    <t>"1% GEL" 1 TUBO DA 50 G</t>
  </si>
  <si>
    <t>AESCULAPIUS FARMACEUTICI SRL</t>
  </si>
  <si>
    <t>CLINDAMICINA IBI</t>
  </si>
  <si>
    <t>CLINDAMICINA FOSFATO</t>
  </si>
  <si>
    <t>" 600 MG/4 ML SOLUZIONE INIETTABILE " 1 FIALA DA 4 ML</t>
  </si>
  <si>
    <t>ISTITUTO BIOCHIMICO ITALIANO GIOVANNI LORENZINI S.P.A.</t>
  </si>
  <si>
    <t>CLOPIDOGREL DR REDDY'S</t>
  </si>
  <si>
    <t>CLOPIDOGREL BESILATO</t>
  </si>
  <si>
    <t>" 75 MG COMPRESSE RIVESTITE CON FILM " 28 COMPRESSE IN BLISTER OPA-AL-PVC/AL</t>
  </si>
  <si>
    <t>CLOPIDOGREL EG</t>
  </si>
  <si>
    <t>"75 MG COMPRESSE RIVESTITE CON FILM" 28 COMPRESSE IN BLISTER OPA/AL/PVC/AL</t>
  </si>
  <si>
    <t>CLOPIDOGREL RATIOPHARM GMBH</t>
  </si>
  <si>
    <t>CLOPIDOGREL</t>
  </si>
  <si>
    <t>" 75 MG- COMPRESSA RIVESTITA CON FILM- USO ORALE-BLISTER(ALU/ALU) " 28 COMPRESSE</t>
  </si>
  <si>
    <t>ACINO PHARMA GMBH</t>
  </si>
  <si>
    <t>CLOPIXOL</t>
  </si>
  <si>
    <t>ZUCLOPENTIXOLO DICLORIDRATO</t>
  </si>
  <si>
    <t>"20 MG/ML GOCCE ORALI, SOLUZIONE" FLACONE 10 ML</t>
  </si>
  <si>
    <t>LUNDBECK ITALIA S.P.A.</t>
  </si>
  <si>
    <t>CLOROCHINA BAYER</t>
  </si>
  <si>
    <t>CLOROCHINA DIFOSFATO</t>
  </si>
  <si>
    <t>"250 MG COMPRESSE RIVESTITE"30 COMPRESSE</t>
  </si>
  <si>
    <t>BAYER AG</t>
  </si>
  <si>
    <t>CLOZAPINA TEVA</t>
  </si>
  <si>
    <t>CLOZAPINA</t>
  </si>
  <si>
    <t>"25 MG COMPRESSE" 28 COMPRESSE IN BLISTER AL/PVC/PVDC</t>
  </si>
  <si>
    <t>Elevata richiesta (carenza relativa solo al canale retail)</t>
  </si>
  <si>
    <t>CODEX</t>
  </si>
  <si>
    <t>SACCAROMICETI BOULARDI</t>
  </si>
  <si>
    <t>"5 MILIARDI CAPSULE RIGIDE" 10 CAPSULE 250 MG</t>
  </si>
  <si>
    <t>BIOCODEX</t>
  </si>
  <si>
    <t>"5 MILIARDI CAPSULE RIGIDE" 20 CAPSULE 250 MG</t>
  </si>
  <si>
    <t>"5 MILIARDI CAPSULE RIGIDE" BLISTER DA 10 CAPSULE</t>
  </si>
  <si>
    <t>"5 MILIARDI CAPSULE RIGIDE" BLISTER DA 20 CAPSULE</t>
  </si>
  <si>
    <t>COLIFOAM</t>
  </si>
  <si>
    <t>IDROCORTISONE ACETATO</t>
  </si>
  <si>
    <t>"10 G/100 G  SCHIUMA RETTALE" BOMBOLA 20,8 G</t>
  </si>
  <si>
    <t>COLISTIMETATO ACCORD</t>
  </si>
  <si>
    <t>COLISTIMETATO SODICO</t>
  </si>
  <si>
    <t>"2.000.000 U.I. POLVERE PER SOLUZIONE INIETTABILE/INFUSIONE" 10 FLACONCINI IN VETRO</t>
  </si>
  <si>
    <t>COLISTIMETATO XELLIA</t>
  </si>
  <si>
    <t>"1 MILIONE U.I. POLVERE PER SOLUZIONE INIETTABILE O PER INFUSIONE" 10 FLACONCINI IN VETRO</t>
  </si>
  <si>
    <t>XELLIA PHARMACEUTICALS APS</t>
  </si>
  <si>
    <t>COLOBREATHE</t>
  </si>
  <si>
    <t>"1.662.500 UI- POLVERE PER INALAZIONE, CAPSULE RIGIDE - PER USO INALATORIO - BLISTER (ALLU)"  4 X 14 CAPSULE + 1 TURBOSPIN INALATORE PER POLVERE</t>
  </si>
  <si>
    <t>COLPOTROPHINE</t>
  </si>
  <si>
    <t>PROMESTRIENE</t>
  </si>
  <si>
    <t>"1% CREMA VAGINALE" 1 TUBO DA 30 G + APPLICATORE</t>
  </si>
  <si>
    <t>THERAMEX IRELAND LIMITED</t>
  </si>
  <si>
    <t>COMBANTRIN</t>
  </si>
  <si>
    <t>PIRANTEL EMBONATO</t>
  </si>
  <si>
    <t>"250 MG COMPRESSE MASTICABILI "8 COMPRESSE</t>
  </si>
  <si>
    <t>COMBISARTAN</t>
  </si>
  <si>
    <t>"80 MG/12,5 MG COMPRESSE RIVESTITE CON FILM" 28 COMPRESSE IN BLISTER PVC/PE/PVDC/AL</t>
  </si>
  <si>
    <t>A. MENARINI INDUSTRIE FARMACEUTICHE RIUNITE S.R.L.</t>
  </si>
  <si>
    <t>"160 MG/12,5 MG COMPRESSE RIVESTITE CON FILM" 28 COMPRESSE IN BLISTER PVC/PE/PVDC/AL</t>
  </si>
  <si>
    <t>"160/25 MG COMPRESSE RIVESTITE CON FILM" 28(2X14) COMPRESSE IN BLISTER PVC/PE/PVDC/ALU</t>
  </si>
  <si>
    <t>"320/12,5 MG COMPRESSE RIVESTITE CON FILM" 28 COMPRESSE IN BLISTER PVC/PVDC/AL</t>
  </si>
  <si>
    <t>"320/25 MG COMPRESSE RIVESTITE CON FILM" 28 COMPRESSE IN BLISTER PVC/PVDC/AL</t>
  </si>
  <si>
    <t>COMBISEVEN</t>
  </si>
  <si>
    <t>ESTRADIOLO EMIIDRATO + ESTRADIOLO EMIIDRATO + LEVONORGESTREL</t>
  </si>
  <si>
    <t>1 ASTUCCIO DA 4 BUSTINE DI 4 CEROTTI TRANSDERMICI  2 CEROTTI DI FASE 1 E 2 CEROTTI DI FASE 2 DA 50 MCG/10 MCG</t>
  </si>
  <si>
    <t>COMPETACT</t>
  </si>
  <si>
    <t>PIOGLITAZONE CLORIDRATO/METFORMINA CLORIDRATO</t>
  </si>
  <si>
    <t>"15/MG/850/MG COMPRESSE RIVESTITE CON FILM" CONFEZIONE BLISTER ALU/ALU - 56 COMPRESSE</t>
  </si>
  <si>
    <t>TAKEDA PHARMA A/S</t>
  </si>
  <si>
    <t>COMTAN</t>
  </si>
  <si>
    <t>ENTACAPONE</t>
  </si>
  <si>
    <t>200 MG CPR FILMRIVESTITA FLAC .VETRO 100 CPR USO ORALE</t>
  </si>
  <si>
    <t>ORION CORPORATION</t>
  </si>
  <si>
    <t>si rilascia autorizzazione all’importazione alle strutture sanitarie per analogo autorizzato all'estero nel caso in cui le strutture interessate riscontrino difficoltà a reperire il medicinale importato dal titolare A.I.C.</t>
  </si>
  <si>
    <t>CONDYLINE</t>
  </si>
  <si>
    <t>PODOFILLOTOSSINA</t>
  </si>
  <si>
    <t>"0,5% SOLUZIONE CUTANEA" 1 FLACONE 3,5 ML</t>
  </si>
  <si>
    <t>KARO PHARMA AB</t>
  </si>
  <si>
    <t>CONNETTIVINA</t>
  </si>
  <si>
    <t>SODIO IALURONATO</t>
  </si>
  <si>
    <t>"200 MG/100 ML SPRAY CUTANEO, SOLUZIONE" FLACONE NEBULIZZATORE DA 20 ML PER USO CUTANEO</t>
  </si>
  <si>
    <t>COPEGUS</t>
  </si>
  <si>
    <t>RIBAVIRINA</t>
  </si>
  <si>
    <t>"200 MG COMPRESSE RIVESTITE CON FILM" 42 COMPRESSE IN FLACONE</t>
  </si>
  <si>
    <t>ROCHE S.P.A.</t>
  </si>
  <si>
    <t>"200 MG COMPRESSE RIVESTITE CON FILM" 168 COMPRESSE IN FLACONE</t>
  </si>
  <si>
    <t>"200 MG COMPRESSE RIVESTITE CON FILM" 28 COMPRESSE IN FLACONE</t>
  </si>
  <si>
    <t>"200 MG COMPRESSE RIVESTITE CON FILM" 112 COMPRESSE IN FLACONE</t>
  </si>
  <si>
    <t>"400 MG COMPRESSE RIVESTITE CON FILM" 14 COMPRESSE IN FLACONE HDPE</t>
  </si>
  <si>
    <t>"400 MG COMPRESSE RIVESTITE CON FILM" 56 COMPRESSE IN FLACONE HDPE</t>
  </si>
  <si>
    <t>CORDARONE</t>
  </si>
  <si>
    <t>"150 MG/3 ML SOLUZIONE INIETTABILE PER USO ENDOVENOSO" 5 FIALE</t>
  </si>
  <si>
    <t>"150 MG/3 ML SOLUZIONE INIETTABILE USO ENDOVENOSO" 6 FIALE</t>
  </si>
  <si>
    <t>COSOPT</t>
  </si>
  <si>
    <t>DORZOLAMIDE CLORIDRATO + TIMOLOLO MALEATO</t>
  </si>
  <si>
    <t>"20 MG/ML + 5 MG/ML COLLIRIO, SOLUZIONE" 1 FLACONE 5 ML CON DOSATORE OCUMETER PLUS</t>
  </si>
  <si>
    <t>SANTEN ITALY SRL</t>
  </si>
  <si>
    <t>CREON</t>
  </si>
  <si>
    <t>PANCRELIPASI</t>
  </si>
  <si>
    <t>"25.000 U.PH.EUR. CAPSULE RIGIDE A RILASCIO MODIFICATO" 100 CAPSULE</t>
  </si>
  <si>
    <t>MYLAN ITALIA S.R.L.</t>
  </si>
  <si>
    <t>Elevata richiesta/problemi produttivi: distribuzione contingentata</t>
  </si>
  <si>
    <t>CRIXIVAN</t>
  </si>
  <si>
    <t>INDINAVIR</t>
  </si>
  <si>
    <t>FLACONE 180 CAPSULE 400 MG</t>
  </si>
  <si>
    <t>FLACONE 360 CAPSULE 200 MG</t>
  </si>
  <si>
    <t>CRONOCEF</t>
  </si>
  <si>
    <t>CEFPROZIL</t>
  </si>
  <si>
    <t>"250 MG/5 ML POLVERE PER SOSPENSIONE ORALE" FLACONE 60 ML</t>
  </si>
  <si>
    <t>CUROXIM</t>
  </si>
  <si>
    <t>"250 MG/ML POLVERE E SOLVENTE PER SOSPENSIONE INIETTABILE PER USO INTRAMUSCOLARE" 1 FLACONCINO POLVERE + 1 FIALA SOLVENTE 1 ML</t>
  </si>
  <si>
    <t>CUVITRU</t>
  </si>
  <si>
    <t>IMMUNOGLOBULINA UMANA NORMALE</t>
  </si>
  <si>
    <t>"200 MG/ML SOLUZIONE PER INIEZIONE SOTTOCUTANEA" 1 FLACONCINO IN VETRO DA 5 ML</t>
  </si>
  <si>
    <t>Problemi commerciali: forniture discontinue</t>
  </si>
  <si>
    <t>"200 MG/ML SOLUZIONE PER INIEZIONE SOTTOCUTANEA" 1 FLACONCINO IN VETRO DA 10 ML</t>
  </si>
  <si>
    <t>"200 MG/ML SOLUZIONE PER INIEZIONE SOTTOCUTANEA" 1 FLACONCINO IN VETRO DA 20 ML</t>
  </si>
  <si>
    <t>"200 MG/ML SOLUZIONE PER INIEZIONE SOTTOCUTANEA" 1 FLACONCINO IN VETRO DA 40 ML</t>
  </si>
  <si>
    <t>DALACIN T</t>
  </si>
  <si>
    <t>"1% SOLUZIONE CUTANEA" FLACONE 30 ML</t>
  </si>
  <si>
    <t>DANKA</t>
  </si>
  <si>
    <t>LEVODROPROPIZINA</t>
  </si>
  <si>
    <t>"30 MG/5 ML SCIROPPO" FLACONE 200 ML</t>
  </si>
  <si>
    <t>AZIENDE CHIMICHE RIUNITE ANGELINI FRANCESCO ACRAF SPA</t>
  </si>
  <si>
    <t>DANKA TOSSE</t>
  </si>
  <si>
    <t>"60 MG/ML GOCCE ORALI, SOLUZIONE" FLACONE 30 ML</t>
  </si>
  <si>
    <t>DAPTOMICINA ACCORD</t>
  </si>
  <si>
    <t>DAPTOMICINA</t>
  </si>
  <si>
    <t>"350 MG POLVERE PER SOLUZIONE INIETTABILE E PER INFUSIONE" 1 FLACONCINO IN VETRO</t>
  </si>
  <si>
    <t>"500 MG POLVERE PER SOLUZIONE INIETTABILE E PER INFUSIONE" 1 FLACONCINO IN VETRO</t>
  </si>
  <si>
    <t>DAPTOMICINA TEVA GENERICS</t>
  </si>
  <si>
    <t>" 350 MG POLVERE PER SOLUZIONE INIETTABILE E PER INFUSIONE " 1 FLACONCINO IN VETRO</t>
  </si>
  <si>
    <t>" 500 MG POLVERE PER SOLUZIONE INIETTABILE E PER INFUSIONE " 1 FLACONCINO IN VETRO</t>
  </si>
  <si>
    <t>DARUNAVIR EG</t>
  </si>
  <si>
    <t>DARUNAVIR</t>
  </si>
  <si>
    <t>"800 MG COMPRESSE RIVESTITE CON FILM" 30 COMPRESSE IN FLACONE HDPE</t>
  </si>
  <si>
    <t>DECADRON</t>
  </si>
  <si>
    <t>DESAMETASONE 21-FOSFATO DISODICO</t>
  </si>
  <si>
    <t>"0,75 MG COMPRESSE" 20 COMPRESSE IN BLISTER PVC/AL</t>
  </si>
  <si>
    <t>"0,5 MG COMPRESSE" 20 COMPRESSE IN BLISTER PVC/AL</t>
  </si>
  <si>
    <t>DELAKET</t>
  </si>
  <si>
    <t>DELAPRIL</t>
  </si>
  <si>
    <t>"15 MG COMPRESSE" 28 COMPRESSE</t>
  </si>
  <si>
    <t>"30 MG COMPRESSE" 28 COMPRESSE</t>
  </si>
  <si>
    <t>DELORAZEPAM PENSA</t>
  </si>
  <si>
    <t>DELORAZEPAM</t>
  </si>
  <si>
    <t>" 0,5 MG COMPRESSE " 20 COMPRESSE</t>
  </si>
  <si>
    <t>DELORAZEPAM SUN</t>
  </si>
  <si>
    <t>"1MG/ML GOCCE ORALI , SOLUZIONE" FLACONE DA 20 ML</t>
  </si>
  <si>
    <t>DELTAVAGIN</t>
  </si>
  <si>
    <t>BETAMETASONE/TIROTRICINA/NORVALINA</t>
  </si>
  <si>
    <t>"OVULI"6 OVULI</t>
  </si>
  <si>
    <t>DEMELORA</t>
  </si>
  <si>
    <t>RIVASTIGMINA</t>
  </si>
  <si>
    <t>"9,5 MG/24 H CEROTTO TRANSDERMICO" 7 CEROTTI IN BUSTINA CARTA/PET/AL/PAN</t>
  </si>
  <si>
    <t>NEURAXPHARM ITALY S.P.A.</t>
  </si>
  <si>
    <t>"4,6 MG/24 H CEROTTO TRANSDERMICO" 7 CEROTTI IN BUSTINA CARTA/PET/AL/PAN</t>
  </si>
  <si>
    <t>DEPO-PROVERA</t>
  </si>
  <si>
    <t>MEDROSSIPROGESTERONE ACETATO</t>
  </si>
  <si>
    <t>"50 MG/ML SOSPENSIONE INIETTABILE PER USO INTRAMUSCOLARE" 1 FLACONE DA 1 ML</t>
  </si>
  <si>
    <t>"150 MG/ML SOSPENSIONE INIETTABILE PER USO INTRAMUSCOLARE" 1 FLACONE DA 6,7 ML</t>
  </si>
  <si>
    <t>DEPOCYTE</t>
  </si>
  <si>
    <t>CITARABINA CLORIDRATO</t>
  </si>
  <si>
    <t>1 FLACONCINO DA 5 ML</t>
  </si>
  <si>
    <t>PACIRA LTD</t>
  </si>
  <si>
    <t>DEPONIT</t>
  </si>
  <si>
    <t>"15 MG/24 H CEROTTI TRANSDERMICI" 15 CEROTTI</t>
  </si>
  <si>
    <t>DERMATOP</t>
  </si>
  <si>
    <t>PREDNICARBATO</t>
  </si>
  <si>
    <t>"0,25% CREMA" 1 TUBO DA 30 G</t>
  </si>
  <si>
    <t>DERMOMYCIN</t>
  </si>
  <si>
    <t>ACIDO FUSIDICO SALE SODICO</t>
  </si>
  <si>
    <t>"2% CREMA" TUBO 20 G</t>
  </si>
  <si>
    <t>DERMOMYCIN CORT</t>
  </si>
  <si>
    <t>TRIAMCINOLONE ACETONIDE BENZAMIDOISOBUTIRRATO/ACIDO FUSIDICO</t>
  </si>
  <si>
    <t>"0,03% + 2% CREMA" TUBO 20 G</t>
  </si>
  <si>
    <t>"0,03% + 2% CREMA" TUBO IN AL DA 30 G</t>
  </si>
  <si>
    <t>DESAMETASONE FOSFATO PFIZER</t>
  </si>
  <si>
    <t>"4 MG/ ML  SOLUZIONE INIETTABILE" 10 FIALE IN VETRO DA 1 ML</t>
  </si>
  <si>
    <t>"8 MG/2 ML  SOLUZIONE INIETTABILE" 10 FIALE IN VETRO DA 2 ML</t>
  </si>
  <si>
    <t>DESANTREL</t>
  </si>
  <si>
    <t>DESOGESTREL</t>
  </si>
  <si>
    <t>"75 MICROGRAMMI COMPRESSE RIVESTITE CON FILM" 1X28 COMPRESSE IN BLISTER PVC/PVDC/AL</t>
  </si>
  <si>
    <t>DESFERAL</t>
  </si>
  <si>
    <t>DEFEROXAMINA MESILATO</t>
  </si>
  <si>
    <t>"2 G/20 ML POLVERE E SOLVENTE PER SOLUZIONE INIETTABILE" 1 FLACONE + 1 FIALA SOLVENTE</t>
  </si>
  <si>
    <t>NOVARTIS FARMA S.P.A.</t>
  </si>
  <si>
    <t>DESTEZIL</t>
  </si>
  <si>
    <t>" 5 MG COMPRESSE RIVESTITE CON FILM" 28 COMPRESSE IN BLISTER PVC/AL</t>
  </si>
  <si>
    <t>" 10 MG COMPRESSE RIVESTITE CON FILM" 28 COMPRESSE IN BLISTER PVC/AL</t>
  </si>
  <si>
    <t>DETOXICON</t>
  </si>
  <si>
    <t>GLICINA/METIONINA</t>
  </si>
  <si>
    <t>"COMPRESSE RIVESTITE" 30 COMPRESSE</t>
  </si>
  <si>
    <t>LABORATORIO FARMACEUTICO SIT SPECIALITA IGIENICO TERAPEUTICHE S.R.L.</t>
  </si>
  <si>
    <t>DETRUSITOL</t>
  </si>
  <si>
    <t>TOLTERODINA TARTRATO</t>
  </si>
  <si>
    <t>RETARD 2X7 CAPSULE A RILASCIO PROLUNGATO IN BLISTER DA 4 MG</t>
  </si>
  <si>
    <t>DEXKETOPROFENE SANDOZ</t>
  </si>
  <si>
    <t>DEXKETOPROFENE</t>
  </si>
  <si>
    <t>"25 MG COMPRESSE RIVESTITE CON FILM" 20 COMPRESSE IN BLISTER PVC/PVDC/AL</t>
  </si>
  <si>
    <t>DEXMEDETOMIDINA MYLAN</t>
  </si>
  <si>
    <t>"100 MICROGRAMMI/ML CONCENTRATO PER SOLUZIONE PER INFUSIONE" 25 FLACONCINI IN VETRO DA 2 ML</t>
  </si>
  <si>
    <t>DEXMEDETOMIDINA TEVA</t>
  </si>
  <si>
    <t>DEXMEDETOMIDINA CLORIDRATO</t>
  </si>
  <si>
    <t>DIANE</t>
  </si>
  <si>
    <t>CIPROTERONE ACETATO + ETINILESTRADIOLO</t>
  </si>
  <si>
    <t>"2 MG +0,035 MG COMPRESSE RIVESTITE" 21 COMPRESSE</t>
  </si>
  <si>
    <t>DIAZEPAM ITALFARMACO</t>
  </si>
  <si>
    <t>DIAZEPAM</t>
  </si>
  <si>
    <t>"10 MG/2 ML SOLUZIONE INIETTABILE"3 FIALE 2 ML</t>
  </si>
  <si>
    <t>DICLOFENAC HEXAL</t>
  </si>
  <si>
    <t>DICLOFENAC SODICO</t>
  </si>
  <si>
    <t>"50 MG COMPRESSE GASTRORESISTENTI"30 COMPRESSE</t>
  </si>
  <si>
    <t>DICLOFENAC RATIOPHARM</t>
  </si>
  <si>
    <t>"50 MG COMPRESSE GASTRORESISTENTI" 30 COMPRESSE</t>
  </si>
  <si>
    <t>DICLOREUM DOLORE</t>
  </si>
  <si>
    <t>DICLOFENAC IDROSSIETILPIRROLIDINA</t>
  </si>
  <si>
    <t>"25 MG GRANULATO PER SOLUZIONE ORALE" 20 BUSTINE</t>
  </si>
  <si>
    <t>"25 MG GRANULATO PER SOLUZIONE ORALE" 10 BUSTINE IN CARTA/AL/PE</t>
  </si>
  <si>
    <t>DICLOREUMDOL</t>
  </si>
  <si>
    <t>DICLOFENAC POTASSICO</t>
  </si>
  <si>
    <t>" 25 MG COMPRESSE RIVESTITE CON FILM " 10 COMPRESSE IN BLISTER PA/PVC/AL</t>
  </si>
  <si>
    <t>" 25 MG COMPRESSE RIVESTITE CON FILM " 20 COMPRESSE IN BLISTER PA/PVC/AL</t>
  </si>
  <si>
    <t>DICYNONE</t>
  </si>
  <si>
    <t>ETAMSILATO</t>
  </si>
  <si>
    <t>"250 MG COMPRESSE" 20 COMPRESSE</t>
  </si>
  <si>
    <t>VIFOR FRANCE</t>
  </si>
  <si>
    <t>"250 MG/2 ML SOLUZIONE INIETTABILE" 6 FIALE 2 ML</t>
  </si>
  <si>
    <t>DIESAN</t>
  </si>
  <si>
    <t>FLUOXETINA CLORIDRATO</t>
  </si>
  <si>
    <t>" 20 MG CAPSULE RIGIDE " 28 CAPSULE</t>
  </si>
  <si>
    <t>LABORATORIO FARMACEUTICO C.T. S.R.L.</t>
  </si>
  <si>
    <t>DIEZIME</t>
  </si>
  <si>
    <t>CEFODIZIMA DISODICA</t>
  </si>
  <si>
    <t>"1 G/4 ML POLVERE E SOLVENTE PER SOLUZIONE INIETTABILE PER USO INTRAMUSCOLARE" 1 FLACONE + 1 FIALA SOLVENTE DA 4 ML</t>
  </si>
  <si>
    <t>"1 G/4 ML POLVERE E SOLVENTE PER SOLUZIONE INIETTABILE" 1 FLACONE + 1 FIALA SOLVENTE DA 4 ML</t>
  </si>
  <si>
    <t>DIFFUMAL</t>
  </si>
  <si>
    <t>TEOFILLINA ANIDRA</t>
  </si>
  <si>
    <t>"350 MG COMPRESSE" 30 COMPRESSE DIVISIBILI</t>
  </si>
  <si>
    <t>DIFLUCAN</t>
  </si>
  <si>
    <t>FLUCONAZOLO</t>
  </si>
  <si>
    <t>"2 MG/ML SOLUZIONE PER INFUSIONE" 1 FLACONCINO DA 100 MG</t>
  </si>
  <si>
    <t>"2 MG/ML SOLUZIONE PER INFUSIONE" 1 FLACONCINO DA 200 MG</t>
  </si>
  <si>
    <t>"2 MG/ML SOLUZIONE PER INFUSIONE" 1 FLACONCINO DA  400 MG</t>
  </si>
  <si>
    <t>DIFMETRE</t>
  </si>
  <si>
    <t>INDOMETACINA/CAFFEINA/PROCLORPERAZINA</t>
  </si>
  <si>
    <t>"COMPRESSE EFFERVESCENTI" 20 COMPRESSE IN STRIP</t>
  </si>
  <si>
    <t>DIFOSFOCIN</t>
  </si>
  <si>
    <t>"1000 MG/4 ML SOLUZIONE INIETTABILE"  3 FIALE DA 4 ML</t>
  </si>
  <si>
    <t>"500 MG/4 ML SOLUZIONE INIETTABILE" 5 FIALE DA 4 ML</t>
  </si>
  <si>
    <t>DILTIAZEM PENSA</t>
  </si>
  <si>
    <t>"180 MG CAPSULE RIGIDE A RILASCIO PROLUNGATO" 28 CAPSULE</t>
  </si>
  <si>
    <t>DILTIAZEM RATIOPHARM</t>
  </si>
  <si>
    <t>"60 MG COMPRESSE A RILASCIO MODIFICATO " 50 COMPRESSE</t>
  </si>
  <si>
    <t>DILTIAZEM SANDOZ GMBH</t>
  </si>
  <si>
    <t>"60 MG COMPRESSE RIVESTITE CON FILM" 50 COMPRESSE</t>
  </si>
  <si>
    <t>DILUR</t>
  </si>
  <si>
    <t>DOXAZOSINA MESILATO</t>
  </si>
  <si>
    <t>" 4 MG COMPRESSE " 20 COMPRESSE DIVISIBILI</t>
  </si>
  <si>
    <t>PROSPA ITALIA S.R.L.</t>
  </si>
  <si>
    <t>DIPRIVAN</t>
  </si>
  <si>
    <t>PROPOFOL</t>
  </si>
  <si>
    <t>"10 MG/ML EMULSIONE PER INFUSIONE" 1 SIRINGA PRERIEMPITA DA 50 ML</t>
  </si>
  <si>
    <t>"20 MG/ML EMULSIONE PER INFUSIONE" 1 SIRINGA PRERIEMPITA DA 50 ML</t>
  </si>
  <si>
    <t>"20 MG/ML EMULSIONE PER INFUSIONE" 1 FLACONE DA 50 ML</t>
  </si>
  <si>
    <t>DISINTYL DETERGENTE DISINFETTANTE</t>
  </si>
  <si>
    <t>SOLUZIONE FLACONE 150 G</t>
  </si>
  <si>
    <t>ZETA FARMACEUTICI S.P.A.</t>
  </si>
  <si>
    <t>DISIPAL</t>
  </si>
  <si>
    <t>ORFENADRINA CLORIDRATO</t>
  </si>
  <si>
    <t>"50 MG COMPRESSE RIVESTITE" 50 COMPRESSE</t>
  </si>
  <si>
    <t>ECUPHARMA S.R.L.</t>
  </si>
  <si>
    <t>DISUFEN</t>
  </si>
  <si>
    <t>SUFENTANIL CITRATO</t>
  </si>
  <si>
    <t>"50 MICROGRAMMI/ML SOLUZIONE INIETTABILE PER USO ENDOVENOSO O EPIDURALE " 5 FIALE DA 5 ML</t>
  </si>
  <si>
    <t>DIUREMID</t>
  </si>
  <si>
    <t>TORASEMIDE</t>
  </si>
  <si>
    <t>"10 MG/2 ML SOLUZIONE" 5 FIALE 2 ML</t>
  </si>
  <si>
    <t>MENARINI INTERNATIONAL OPERATIONS LUXEMBOURG S.A.</t>
  </si>
  <si>
    <t>"200 MG/20 ML SOLUZIONE PER INFUSIONE" 1 FIALA 20 ML</t>
  </si>
  <si>
    <t>DIVIDOL</t>
  </si>
  <si>
    <t>VIMINOLO PARAIDROSSIBENZOATO</t>
  </si>
  <si>
    <t>"50 MG CAPSULE RIGIDE" 24 CAPSULE</t>
  </si>
  <si>
    <t>DOCETAXEL AUROBINDO</t>
  </si>
  <si>
    <t>DOCETAXEL</t>
  </si>
  <si>
    <t>" 20 MG/ML CONCENTRATO PER SOLUZIONE PER INFUSIONE " 1 FLACONCINO MONODOSE DA  1 ML</t>
  </si>
  <si>
    <t>" 20 MG/ML CONCENTRATO PER SOLUZIONE PER INFUSIONE " 1 FLACONCINO MONODOSE DA  4 ML</t>
  </si>
  <si>
    <t>" 20 MG/ML CONCENTRATO PER SOLUZIONE PER INFUSIONE " 1 FLACONCINO MONODOSE DA  7 ML</t>
  </si>
  <si>
    <t>DOCETAXEL PFIZER</t>
  </si>
  <si>
    <t>"10MG/ML CONCENTRATO PER SOLUZIONE PER INFUSIONE" 1 FLACONCINO IN VETRO DA 2ML</t>
  </si>
  <si>
    <t>"10MG/ML CONCENTRATO PER SOLUZIONE PER INFUSIONE" 1 FLACONCINO IN VETRO DA 8ML</t>
  </si>
  <si>
    <t>"10MG/ML CONCENTRATO PER SOLUZIONE PER INFUSIONE" 1 FLACONCINO IN VETRO DA 16ML</t>
  </si>
  <si>
    <t>DOCETAXEL RATIOPHARM ITALIA</t>
  </si>
  <si>
    <t>"20MG/ML CONCENTRATO PER SOLUZIONE PER INFUSIONE" 1 FLACONCINO IN VETRO DA 140MG/7ML</t>
  </si>
  <si>
    <t>DOCETAXEL TEVA</t>
  </si>
  <si>
    <t>80 MG-CONCENTRATO E SOLVENTE PER SOLUZIONE PER INFUSIONE-USOENDOVENOSO-CONCENTRATO:FLACNO (VETRO)2,88ML-SOLV:FLACNO (VETRO) 5,12ML-1FLACONCINO+1FLACNO</t>
  </si>
  <si>
    <t>20 MG-CONCENTRATO E SOLVENTE PER SOLUZIONE PER INFUSIONE-USOENDOVENOSO-CONCENTRATO:FLACNO (VETRO)0,72ML-SOLV:FLACNO (VETRO) 1,28ML-1FLACONCINO+1FLACNO</t>
  </si>
  <si>
    <t>DOCETAXEL ZENTIVA</t>
  </si>
  <si>
    <t>"20 MG/1 ML - CONCENTRATO PER SOLUZIONE PER INFUSIONE - USO ENDOVENOSO - FLACONCINO (VETRO) - 1 ML" 1 FLACONCINO</t>
  </si>
  <si>
    <t>ZENTIVA K.S.</t>
  </si>
  <si>
    <t>"160 MG/8ML - CONCENTRATO PER SOLUZIONE PER INFUSIONE - USO ENDOVENOSO - FLACONCINO (VETRO) 8 ML" 1 FLACONCINO</t>
  </si>
  <si>
    <t>"80 MG/4 ML - CONCENTRATO PER SOLUZIONE PER INFUSIONE - USO ENDOVENOSO - FLACONCINO (VETRO) 4 ML" 1 FLACONCINO</t>
  </si>
  <si>
    <t>DONA</t>
  </si>
  <si>
    <t>GLUCOSAMINA SOLFATO + SODIO CLORURO</t>
  </si>
  <si>
    <t>"400 MG/3 ML CONCENTRATO E SOLVENTE PER SOLUZIONE INIETTABILE PER USO INTRAMUSCOLARE"6 FIALE CONCENTRATO 2 ML+6 FIALE SOLVENTE 1 ML CON 3,3% LIDOCAINA</t>
  </si>
  <si>
    <t>"1500 MG POLVERE PER SOLUZIONE ORALE" 20 BUSTINE</t>
  </si>
  <si>
    <t>DONEPEZIL MYLAN GENERICS</t>
  </si>
  <si>
    <t>"10 MG COMPRESSE RIVESTITE CON FILM" 28 COMPRESSE IN BLISTER PVC/PVDC/AL (CONFEZIONE CALENDARIO)</t>
  </si>
  <si>
    <t>DONEPEZIL PENSA</t>
  </si>
  <si>
    <t>"5 MG COMPRESSE RIVESTITE CON FILM" 28 COMPRESSE IN BLISTER PVC/PE/PVDC/AL</t>
  </si>
  <si>
    <t>"10 MG COMPRESSE RIVESTITE CON FILM" 28 COMPRESSE IN BLISTER PVC/PE/PVDC/AL</t>
  </si>
  <si>
    <t>"10 MG COMPRESSE ORODISPERSIBILI" 28 COMPRESSE IN BLISTER AL</t>
  </si>
  <si>
    <t>DONEPEZIL SUN</t>
  </si>
  <si>
    <t>"5MG COMPRESSE RIVESTITE CON FILM" 28 COMPRESSE IN BLISTER PVC/PVDC/AL</t>
  </si>
  <si>
    <t>"10MG COMPRESSE RIVESTITE CON FILM" 28 COMPRESSE IN BLISTER PVC/PVDC/AL</t>
  </si>
  <si>
    <t>DONEPEZIL TEVA ITALIA</t>
  </si>
  <si>
    <t>"5 MG COMPRESSE ORODISPERSIBILI" 28 COMPRESSE IN BLISTER OPA/ALU/PVC-AL</t>
  </si>
  <si>
    <t>"10 MG COMPRESSE ORODISPERSIBILI" 28 COMPRESSE IN BLISTER OPA/ALU/PVC-AL</t>
  </si>
  <si>
    <t>DOSANLOC</t>
  </si>
  <si>
    <t>"20 MG COMPRESSE GASTRORESISTENTI" 7 COMPRESSE IN BLISTER AL-OPA/AL/PVC</t>
  </si>
  <si>
    <t>DOTAGRAF</t>
  </si>
  <si>
    <t>ACIDO GADOTERICO</t>
  </si>
  <si>
    <t>"0,5 MMOL/ML SOLUZIONE INIETTABILE" 1 FLACONCINO DA 60 ML USO MULTIPLO</t>
  </si>
  <si>
    <t>DOVEN</t>
  </si>
  <si>
    <t>DIOSMINA</t>
  </si>
  <si>
    <t>DOVOBET</t>
  </si>
  <si>
    <t>CALCIPOTRIOLO IDRATO/BETAMETASONE DIPROPIONATO</t>
  </si>
  <si>
    <t>TUBO IN ALLUMINIO DA 30 G DI UNGUENTO</t>
  </si>
  <si>
    <t>LEO PHARMA A/S</t>
  </si>
  <si>
    <t>DOXAZOSINA SUN</t>
  </si>
  <si>
    <t>" 2 MG COMPRESSE " 30 COMPRESSE DIVISIBILI</t>
  </si>
  <si>
    <t>DOXORUBICINA ACCORD HEALTHCARE ITALIA</t>
  </si>
  <si>
    <t>DOXORUBICINA CLORIDRATO</t>
  </si>
  <si>
    <t>" 2MG/ML CONCENTRATO PER SOLUZIONE PER INFUSIONE" 1 FLACONCINO IN VETRO DA 10MG/5ML</t>
  </si>
  <si>
    <t>" 2MG/ML CONCENTRATO PER SOLUZIONE PER INFUSIONE" 1 FLACONCINO IN VETRO DA 50MG/25ML</t>
  </si>
  <si>
    <t>" 2MG/ML CONCENTRATO PER SOLUZIONE PER INFUSIONE" 1 FLACONCINO IN VETRO DA 200 MG/100ML</t>
  </si>
  <si>
    <t>" 2MG/ML CONCENTRATO PER SOLUZIONE PER INFUSIONE" 1 FLACONCINO IN VETRO DA 100MG/50ML</t>
  </si>
  <si>
    <t>DOXORUBICINA AUROBINDO</t>
  </si>
  <si>
    <t>"2 MG/ML CONCENTRATO PER SOLUZIONE PER INFUSIONE" 1 FLACONCINO IN VETRO DA 5 ML</t>
  </si>
  <si>
    <t>"2 MG/ML CONCENTRATO PER SOLUZIONE PER INFUSIONE" 1 FLACONCINO IN VETRO DA 50 ML</t>
  </si>
  <si>
    <t>DOXORUBICINA TEVA</t>
  </si>
  <si>
    <t>" 2 MG/ML CONCENTRATO PER SOLUZIONE PER INFUSIONE " 1 FLACONCINO IN VETRO DA 50MG/25ML</t>
  </si>
  <si>
    <t>" 2 MG/ML CONCENTRATO PER SOLUZIONE PER INFUSIONE " 1 FLACONCINO IN VETRO DA 200MG/100 ML</t>
  </si>
  <si>
    <t>DROPILTON</t>
  </si>
  <si>
    <t>PILOCARPINA CLORIDRATO</t>
  </si>
  <si>
    <t>"4% COLLIRIO, SOLUZIONE" FLACONE 10 ML</t>
  </si>
  <si>
    <t>DUAC</t>
  </si>
  <si>
    <t>BENZOILPEROSSIDO/CLINDAMICINA FOSFATO</t>
  </si>
  <si>
    <t>"  1% +  5%  GEL " 1 TUBO IN ALLUMINIO AL DA 25 G</t>
  </si>
  <si>
    <t>STIEFEL LABORATORIES LEGACY (IRELAND) LTD</t>
  </si>
  <si>
    <t>" 1% + 5%  GEL " 1 TUBO IN  ALLUMINIO  DA 50 G</t>
  </si>
  <si>
    <t>DUAVIVE</t>
  </si>
  <si>
    <t>BAZEDOXIFENE ACETATO + ESTROGENI CONIUGATI</t>
  </si>
  <si>
    <t>0.45 MG/20 MG - COMPRESSA A RILASCIO MODIFICATO - USO ORALE - BLISTER (UPVC/MONOCLOROTRIFLUORETILENE) - 28 COMPRESSE</t>
  </si>
  <si>
    <t>DUKORAL</t>
  </si>
  <si>
    <t>VACCINO COLERICO</t>
  </si>
  <si>
    <t>2 FLACONCINI DA 3 ML</t>
  </si>
  <si>
    <t>VALNEVA SWEDEN AB</t>
  </si>
  <si>
    <t>DULOXETINA ALTER</t>
  </si>
  <si>
    <t>DULOXETINA CLORIDRATO</t>
  </si>
  <si>
    <t>"30 MG CAPSULE RIGIDE GASTRORESISTENTI" 7 CAPSULE IN BLISTER PA/AL/PVC/AL</t>
  </si>
  <si>
    <t>DULOXETINA MYLAN</t>
  </si>
  <si>
    <t>30 MG - CAPSULA RIGIDA GASTRORESISTENTE - USO ORALE - BLISTER (PVC/PCTFE/AL) - 7 X 1 CAPSULE (DOSE UNITARIA)</t>
  </si>
  <si>
    <t>30 MG - CAPSULA RIGIDA GASTRORESISTENTE - USO ORALE - BLISTER (PVC/PCTFE/AL) - 28 X 1 CAPSULE (DOSE UNITARIA)</t>
  </si>
  <si>
    <t>60 MG - CAPSULA RIGIDA GASTRORESISTENTE - USO ORALE - BLISTER (PVC/PCTFE/AL) - 28 X 1 CAPSULE (DOSE UNITARIA)</t>
  </si>
  <si>
    <t>30 MG - CAPSULA RIGIDA GASTRORESISTENTE - USO ORALE - BLISTER (OPA/ALU/PVC-ALU) - 7 X 1 CAPSULE (DOSE UNITARIA)</t>
  </si>
  <si>
    <t>30 MG - CAPSULA RIGIDA GASTRORESISTENTE - USO ORALE - BLISTER (OPA/ALU/PVC-ALU) - 28 X 1 CAPSULE (DOSE UNITARIA)</t>
  </si>
  <si>
    <t>60 MG - CAPSULA RIGIDA GASTRORESISTENTE - USO ORALE - BLISTER (OPA/ALU/PVC-ALU) - 28 X 1 CAPSULE (DOSE UNITARIA)</t>
  </si>
  <si>
    <t>DULOXETINA TEVA ITALIA</t>
  </si>
  <si>
    <t>"30 MG CAPSULE RIGIDE GASTRORESISTENTI" 7 CAPSULE IN BLISTER PVC/ACLAR/PVC/AL</t>
  </si>
  <si>
    <t>"30 MG CAPSULE RIGIDE GASTRORESISTENTI" 28 CAPSULE IN BLISTER PVC/ACLAR/PVC/AL</t>
  </si>
  <si>
    <t>"60 MG CAPSULE RIGIDE GASTRORESISTENTI" 28 CAPSULE IN BLISTER PVC/ACLAR/PVC-AL</t>
  </si>
  <si>
    <t>DUOSOL</t>
  </si>
  <si>
    <t>SOLUZIONE PER EMOFILTRAZIONE</t>
  </si>
  <si>
    <t>"SOLUZIONE PER EMOFILTRAZIONE, CON POTASSIO 2 MMOL/L  " 2 SACCHE DA 5000 ML A DOPPIA CAMERA IN PP</t>
  </si>
  <si>
    <t>B. BRAUN AVITUM AG</t>
  </si>
  <si>
    <t>ECOMI'</t>
  </si>
  <si>
    <t>ECONAZOLO NITRATO</t>
  </si>
  <si>
    <t>"100 MG SOLUZIONE VAGINALE" 5 CONTENITORI MONODOSE DA 10 ML</t>
  </si>
  <si>
    <t>PHARMADAY PHARMACEUTICAL S.R.L. UNIPERSONALE</t>
  </si>
  <si>
    <t>" 100 MG SOLUZIONE VAGINALE "  5 CONTENITORI MONODOSE DA 150 ML</t>
  </si>
  <si>
    <t>"1% POLVERE CUTANEA" FLACONE 30 G</t>
  </si>
  <si>
    <t>"1% EMULSIONE CUTANEA" 1 FLACONE  30 ML</t>
  </si>
  <si>
    <t>ECONAZOLO</t>
  </si>
  <si>
    <t>"1% CREMA" TUBO 30 G</t>
  </si>
  <si>
    <t>ECZEDERMA</t>
  </si>
  <si>
    <t>"0,5  MG/G CREMA" TUBO DA 15 G</t>
  </si>
  <si>
    <t>GLAXOSMITHKLINE CONSUMER HEALTHCARE S.R.L.</t>
  </si>
  <si>
    <t>EDEVEN C.M.</t>
  </si>
  <si>
    <t>ESCINA/DIETILAMINA SALICILATO</t>
  </si>
  <si>
    <t>"1% + 5 % GEL" 1 TUBO DA 40 G</t>
  </si>
  <si>
    <t>"2% + 5% GEL" 1 TUBO DA 40 G</t>
  </si>
  <si>
    <t>EDEVEXIN</t>
  </si>
  <si>
    <t>ESCINA</t>
  </si>
  <si>
    <t>"40 MG COMPRESSE RIVESTITE CON FILM" 30 COMPRESSE</t>
  </si>
  <si>
    <t>EFACTI</t>
  </si>
  <si>
    <t>IVERMECTINA</t>
  </si>
  <si>
    <t>"10 MG/G CREMA" 1 TUBO IN PE/AL/PE DA 15 G CON CHIUSURA A PROVA DI BAMBINO</t>
  </si>
  <si>
    <t>EFAVIRENZ AUROBINDO</t>
  </si>
  <si>
    <t>EFAVIRENZ</t>
  </si>
  <si>
    <t>"600 MG COMPRESSE RIVESTITE CON FILM" 30 COMPRESSE IN BLISTER PVC/PVDC/AL</t>
  </si>
  <si>
    <t>EFAVIRENZ TEVA</t>
  </si>
  <si>
    <t>600 MG - COMPRESSA RIVESTITA CON FILM - USO ORALE - BLISTER (PVC/PVDC/AL) - 30  COMPRESSE</t>
  </si>
  <si>
    <t>EFAVIRENZ, EMTRICITABINA E TENOFOVIR DISOPROXIL EG</t>
  </si>
  <si>
    <t>EFAVIRENZ + EMTRICITABINA + TENOFOVIR DISOPROXIL</t>
  </si>
  <si>
    <t>"600MG/200MG/245MG COMPRESSE RIVESTITE CON FILM" 30 COMPRESSE IN FLACONE HDPE</t>
  </si>
  <si>
    <t>EFEDRINA  AGUETTANT</t>
  </si>
  <si>
    <t>EFEDRINA</t>
  </si>
  <si>
    <t>"3 MG/ML SOLUZIONE INIETTABILE IN SIRINGA PRERIEMPITA" 10 SIRINGHE DA 10 ML</t>
  </si>
  <si>
    <t>LABORATOIRE AGUETTANT</t>
  </si>
  <si>
    <t>EFFORTIL</t>
  </si>
  <si>
    <t>ETILEFRINA CLORIDRATO</t>
  </si>
  <si>
    <t>"5 MG COMPRESSE"20 COMPRESSE</t>
  </si>
  <si>
    <t>ELAZOR</t>
  </si>
  <si>
    <t>"50MG CAPSULE RIGIDE" 7 CAPSULE</t>
  </si>
  <si>
    <t>ELLAONE</t>
  </si>
  <si>
    <t>ULIPRISTAL ACETATO</t>
  </si>
  <si>
    <t>"30 MG - COMPRESSA - USO ORALE - BLISTER (PVC/PE/PVDC/AL)" 1 COMPRESSA</t>
  </si>
  <si>
    <t>LABORATOIRE HRA PHARMA</t>
  </si>
  <si>
    <t>ELOXATIN</t>
  </si>
  <si>
    <t>OXALIPLATINO</t>
  </si>
  <si>
    <t>" 5 MG/ML CONCENTRATO PER SOLUZIONE PER INFUSIONE" 1 FLACONCINO DA 40 ML</t>
  </si>
  <si>
    <t>ELUNKAST</t>
  </si>
  <si>
    <t>MONTELUKAST</t>
  </si>
  <si>
    <t>"5 MG COMPRESSE MASTICABILI" 28 COMPRESSE</t>
  </si>
  <si>
    <t>EMADINE</t>
  </si>
  <si>
    <t>EMEDASTINA DIFUMARATO</t>
  </si>
  <si>
    <t>0,05% P/V COLLIRIO FLACONE PLASTICA CON COPERCHIO A VITE 5 ML</t>
  </si>
  <si>
    <t>NOVARTIS EUROPHARM LIMITED</t>
  </si>
  <si>
    <t>EMEND</t>
  </si>
  <si>
    <t>125 MG - POLVERE PER SOSPENSIONE ORALE - USO ORALE - BUSTINA (PET/ALL/LLDPE) - 1 BUSTINA + 2 DOSATORI + 1 DISPOSITIVO DI CHIUSURA + 1 CONTENITORE PER LA MISCELAZIONE</t>
  </si>
  <si>
    <t>EMINOCS</t>
  </si>
  <si>
    <t>"50 MG/ML SOLUZIONE ORALE" 1 FLACONE DI VETRO SCURO DA 100 ML</t>
  </si>
  <si>
    <t>EMOSINT</t>
  </si>
  <si>
    <t>DESMOPRESSINA ACETATO IDRATO</t>
  </si>
  <si>
    <t>"4 MCG/0,5 ML SOLUZIONE INIETTABILE"10 FIALE 0,5 ML</t>
  </si>
  <si>
    <t>KEDRION S.P.A.</t>
  </si>
  <si>
    <t>"20 MCG/1 ML SOLUZIONE INIETTABILE" 10 FIALE DA 1 ML</t>
  </si>
  <si>
    <t>ENALAPRIL AUROBINDO ITALIA</t>
  </si>
  <si>
    <t>ENALAPRIL MALEATO</t>
  </si>
  <si>
    <t>ENALAPRIL E IDROCLOROTIAZIDE GIT</t>
  </si>
  <si>
    <t>ENALAPRIL MALEATO + IDROCLOROTIAZIDE</t>
  </si>
  <si>
    <t>" 20 MG + 12,5 MG COMPRESSE " 14 COMPRESSE</t>
  </si>
  <si>
    <t>ENALAPRIL IDROCLOROTIAZIDE HEXAL AG</t>
  </si>
  <si>
    <t>IDROCLOROTIAZIDE</t>
  </si>
  <si>
    <t>"20 MG + 6 MG COMPRESSE" 14 COMPRESSE IN BLISTER AL/AL</t>
  </si>
  <si>
    <t>ENALAPRIL IDROCLOROTIAZIDE SANDOZ</t>
  </si>
  <si>
    <t>ENALAPRIL RANBAXY ITALIA</t>
  </si>
  <si>
    <t>"20 MG COMPRESSE" 14 COMPRESSE IN BLISTER OPA/AL/PE/HDPE</t>
  </si>
  <si>
    <t>RANBAXY ITALIA S.P.A.</t>
  </si>
  <si>
    <t>ENANTONE</t>
  </si>
  <si>
    <t>LEUPRORELINA</t>
  </si>
  <si>
    <t>"DIE 1MG/0,2ML SOLUZIONE INIETTABILE PER USO SOTTOCUTANEO"1 FLACONE DA 14 DOSI + 14 SIRINGHE MONOUSO</t>
  </si>
  <si>
    <t>ENGERIX B</t>
  </si>
  <si>
    <t>VACCINO EPATITICO B</t>
  </si>
  <si>
    <t>SIRINGA PRERIEMPITA SOSP INIETT 1ML/20MCG</t>
  </si>
  <si>
    <t>GLAXOSMITHKLINE BIOLOGICALS S.A.</t>
  </si>
  <si>
    <t>25 FLAC. MONODOSE + SIRINGHE</t>
  </si>
  <si>
    <t>ENTECAVIR ACCORD</t>
  </si>
  <si>
    <t>ENTECAVIR</t>
  </si>
  <si>
    <t>0,5 MG - COMPRESSA RIVESTITA CON FILM - USO ORALE - BLISTER (ALU/ALU) - 30 X 1 COMPRESSE (DOSE UNITARIA)</t>
  </si>
  <si>
    <t>ENTECAVIR TEVA</t>
  </si>
  <si>
    <t>"0,5 MG COMPRESSE RIVESTITE CON FILM" 30X1 COMPRESSE IN BLISTER DIVISIBILE PER DOSE UNITARIA PVC/PVDC-AL</t>
  </si>
  <si>
    <t>"1 MG COMPRESSE RIVESTITE CON FILM" 30X1 COMPRESSE IN BLISTER DIVISIBILE PER DOSE UNITARIA PVC/PVDC-AL</t>
  </si>
  <si>
    <t>ENTEROGERMINA</t>
  </si>
  <si>
    <t>BACILLUS CLAUSII</t>
  </si>
  <si>
    <t>"6 MILIARDI/2 G POLVERE PER SOSPENSIONE ORALE" 10 BUSTINE</t>
  </si>
  <si>
    <t>ENTUREN</t>
  </si>
  <si>
    <t>SULFINPIRAZONE</t>
  </si>
  <si>
    <t>"400 MG COMPRESSE"20 COMPRESSE</t>
  </si>
  <si>
    <t>MEDIVIS S.R.L.</t>
  </si>
  <si>
    <t>ENYGLID</t>
  </si>
  <si>
    <t>REPAGLINIDE</t>
  </si>
  <si>
    <t>"0.5 MG - COMPRESSA - USO ORALE - BLISTER (OPA/AL/PVC-AL)" 90 COMPRESSE</t>
  </si>
  <si>
    <t>"1 MG - COMPRESSA - USO ORALE - BLISTER (OPA/AL/PVC-AL)" 90 COMPRESSE</t>
  </si>
  <si>
    <t>"2 MG - COMPRESSA - USO ORALE - BLISTER (OPA/AL/PVC-AL)" 90 COMPRESSE</t>
  </si>
  <si>
    <t>EPALFEN</t>
  </si>
  <si>
    <t>LATTULOSIO</t>
  </si>
  <si>
    <t>"65% SCIROPPO"FLACONE 180 ML</t>
  </si>
  <si>
    <t>20 BUSTE 3 G</t>
  </si>
  <si>
    <t>20 BUSTE 6 G</t>
  </si>
  <si>
    <t>EPALFEN EPS</t>
  </si>
  <si>
    <t>"6 G GRANULATO PER SOLUZIONE ORALE"30 BUSTINE</t>
  </si>
  <si>
    <t>EPARGRISEOVIT</t>
  </si>
  <si>
    <t>CIANOCOBALAMINA/ACIDO FOLICO/NICOTINAMIDE/ACIDO ASCORBICO</t>
  </si>
  <si>
    <t>"BAMBINI SOLUZIONE INIETTABILE" 6 FIALE I DA 1 ML + 6 FIALE II DA 1 ML</t>
  </si>
  <si>
    <t>EPARINA VISTER</t>
  </si>
  <si>
    <t>EPARINA SODICA</t>
  </si>
  <si>
    <t>"5.000 UI/ML SOLUZIONE INIETTABILE"1 FLACONCINO 10 ML</t>
  </si>
  <si>
    <t>La carenza è relativa sia al canale retail che al canale ospedaliero:                  
- canale retail:  inizio carenza 15/05/2020, fine carenza 30/06/2021                     
- canale ospedaliero: inizio carenza 01/02/2021</t>
  </si>
  <si>
    <t>EPIDUO</t>
  </si>
  <si>
    <t>ADAPALENE + BENZOILPEROSSIDO</t>
  </si>
  <si>
    <t>"0,1%/2,5% GEL" 1 TUBO DI PLASTICA DA 60 G</t>
  </si>
  <si>
    <t>"0,1%/2,5% GEL" 1 TUBO DI PLASTICA DA 30 G</t>
  </si>
  <si>
    <t>"0,1%/2,5% GEL" 1 CONTENITORE MULTIDOSE CON POMPA A TENUTA D'ARIA DA 60 G</t>
  </si>
  <si>
    <t>"0,1%/2,5% GEL" 1 CONTENITORE MULTIDOSE CON POMPA A TENUTA D'ARIA DA 30 G</t>
  </si>
  <si>
    <t>" 0,3%/2,5% GEL" 1 CONTENITORE MULTIDOSE IN HDPE DA 45 G CON POMPA A TENUTA D'ARIA</t>
  </si>
  <si>
    <t>EPIESTROL</t>
  </si>
  <si>
    <t>ESTRADIOLO</t>
  </si>
  <si>
    <t>«SEPTEM 50 MICROGRAMMI/24 ORE CEROTTO TRANSDERMICO»_x000D_
4 CEROTTI TRANSDERMICI 5 MG</t>
  </si>
  <si>
    <t>EPIRUBICINA AHCL</t>
  </si>
  <si>
    <t>EPIRUBICINA CLORIDRATO</t>
  </si>
  <si>
    <t>"2 MG/ML SOLUZIONE INIETTABILE O PER INFUSIONE" 1 FLACONCINO IN VETRO DA 5 ML</t>
  </si>
  <si>
    <t>"2 MG/ML SOLUZIONE INIETTABILE O PER INFUSIONE" 1 FLACONCINO IN VETRO DA 25 ML</t>
  </si>
  <si>
    <t>"2 MG/ML SOLUZIONE INIETTABILE O PER INFUSIONE" 1 FLACONCINO IN VETRO DA 100 ML</t>
  </si>
  <si>
    <t>EPIRUBICINA TEVA</t>
  </si>
  <si>
    <t>" 2 MG/ML SOLUZIONE INIETTABILE O PER INFUSIONE" 1 FLACONCINO DA 100 ML</t>
  </si>
  <si>
    <t>" 2 MG/ML SOLUZIONE INIETTABILE O PER INFUSIONE" 1 FLACONCINO DA 5 ML</t>
  </si>
  <si>
    <t>" 2 MG/ML SOLUZIONE INIETTABILE O PER INFUSIONE" 1 FLACONCINO DA 25 ML</t>
  </si>
  <si>
    <t>EPORATIO</t>
  </si>
  <si>
    <t>EPOETINA TETA</t>
  </si>
  <si>
    <t>"5000 UI/0,5 ML-SOLUZIONE INIETTABILE-USO SOTTOCUTANEO O ENDOVENOSO -SIR PRER (VETRO) SENZA DISPOSITIVO DI SICUREZZA -0,5 ML "6 SIRINGHE PRERIEMPITE</t>
  </si>
  <si>
    <t>"5000 UI/0,5 ML-SOLUZIONE INIETTABILE-USO SOTTOCUTANEO O ENDOVENOSO -SIR PRER (VETRO) CON DISPOSITIVO DI SICUREZZA -0,5 ML "6 SIRINGHE PRERIEMPITE</t>
  </si>
  <si>
    <t>"4000 UI/0,5 ML-SOLUZIONE INIETTABILE-USO SOTTOCUTANEO O ENDOVENOSO -SIR PRER (VETRO) CON DISPOSITIVO DI SICUREZZA -0,5 ML "6 SIRINGHE PRERIEMPITE</t>
  </si>
  <si>
    <t>"4000 UI/0,5 ML-SOLUZIONE INIETTABILE-USO SOTTOCUTANEO O ENDOVENOSO -SIR PRER (VETRO) SENZA DISPOSITIVO DI SICUREZZA -0,5 ML "6 SIRINGHE PRERIEMPITE</t>
  </si>
  <si>
    <t>"30000 UI/1,0 ML-SOLUZIONE INIETTABILE-USO SOTTOCUTANEO O ENDOVENOSO -SIR PRER (VETRO) SENZA DISPOSITIVO DI SICUREZZA -1,0 ML "1 SIRINGA PRERIEMPITA</t>
  </si>
  <si>
    <t>"30000 UI/1,0 ML-SOLUZIONE INIETTABILE-USO SOTTOCUTANEO O ENDOVENOSO -SIR PRER (VETRO) CON DISPOSITIVO DI SICUREZZA -1,0 ML "1 SIRINGA PRERIEMPITA</t>
  </si>
  <si>
    <t>"3000 UI/0,5 ML-SOLUZIONE INIETTABILE-USO SOTTOCUTANEO O ENDOVENOSO -SIR PRER (VETRO) SENZA DISPOSITIVO DI SICUREZZA -0,5 ML "6 SIRINGHE PRERIEMPITE</t>
  </si>
  <si>
    <t>"3000 UI/0,5 ML-SOLUZIONE INIETTABILE-USO SOTTOCUTANEO O ENDOVENOSO -SIR PRER (VETRO) CON DISPOSITIVO DI SICUREZZA -0,5 ML "6 SIRINGHE PRERIEMPITE</t>
  </si>
  <si>
    <t>"20000 UI/1,0 ML-SOLUZIONE INIETTABILE-USO SOTTOCUTANEO O ENDOVENOSO -SIR PRER (VETRO) SENZA DISPOSITIVO DI SICUREZZA -1,0 ML "1 SIRINGA PRERIEMPITA</t>
  </si>
  <si>
    <t>"20000 UI/1,0 ML-SOLUZIONE INIETTABILE-USO SOTTOCUTANEO O ENDOVENOSO -SIR PRER (VETRO) CON DISPOSITIVO DI SICUREZZA -1,0 ML "1 SIRINGA PRERIEMPITA</t>
  </si>
  <si>
    <t>"2000 UI/0,5 ML-SOLUZIONE INIETTABILE-USO SOTTOCUTANEO O ENDOVENOSO -SIR PRER (VETRO) CON DISPOSITIVO DI SICUREZZA -0,5 ML "6 SIRINGHE PRERIEMPITE</t>
  </si>
  <si>
    <t>"2000 UI/0,5 ML-SOLUZIONE INIETTABILE-USO SOTTOCUTANEO O ENDOVENOSO -SIR PRER (VETRO) SENZA DISPOSITIVO DI SICUREZZA -0,5 ML "6 SIRINGHE PRERIEMPITE</t>
  </si>
  <si>
    <t>"10000 UI/1,0 ML-SOLUZIONE INIETTABILE-USO SOTTOCUTANEO O ENDOVENOSO -SIR PRER (VETRO) CON DISPOSITIVO DI SICUREZZA -1,0 ML "1 SIRINGA PRERIEMPITA</t>
  </si>
  <si>
    <t>"10000 UI/1,0 ML-SOLUZIONE INIETTABILE-USO SOTTOCUTANEO O ENDOVENOSO -SIR PRER (VETRO) SENZA DISPOSITIVO DI SICUREZZA -1,0 ML "1 SIRINGA PRERIEMPITA</t>
  </si>
  <si>
    <t>"1000 UI/0,5 ML-SOLUZIONE INIETTABILE-USO SOTTOCUTANEO O ENDOVENOSO -SIR PRER (VETRO) CON DISPOSITIVO DI SICUREZZA -0,5 ML "6 SIRINGHE PRERIEMPITE</t>
  </si>
  <si>
    <t>"1000 UI /0,5 ML- SOLUZIONE  INIETTABILE-USO SOTTOCUTANEO O ENDOVENOSO-SIR PRER (VETRO)SENZA DISPOSITIVO DI SICUREZZA-0,5 ML " 6 SIRINGHE PRERIEMPITE</t>
  </si>
  <si>
    <t>EPSOCLAR</t>
  </si>
  <si>
    <t>"5.000 U.I./1 ML SOLUZIONE INIETTABILE" 10 FIALE 1 ML</t>
  </si>
  <si>
    <t>EQUASYM</t>
  </si>
  <si>
    <t>METILFENIDATO CLORIDRATO</t>
  </si>
  <si>
    <t>"10 MG CAPSULE RIGIDE A RILASCIO MODIFICATO" 30 CAPSULE IN BLISTER PVC/ACLAR/AL</t>
  </si>
  <si>
    <t>SHIRE PHARMACEUTICALS IRELAND LIMITED</t>
  </si>
  <si>
    <t>EQUITON</t>
  </si>
  <si>
    <t>TIMOLOLO MALEATO/PILOCARPINA CLORIDRATO</t>
  </si>
  <si>
    <t>"5MG/ML + 10MG/ML COLLIRIO, SOLUZIONE" 1 FLACONE DA 5 ML</t>
  </si>
  <si>
    <t>ERDOTIN</t>
  </si>
  <si>
    <t>ERDOSTEINA</t>
  </si>
  <si>
    <t>"175 MG/5 ML GRANULATO PER SOSPENSIONE ORALE" FLACONE 100 ML</t>
  </si>
  <si>
    <t>ESAFOSFINA</t>
  </si>
  <si>
    <t>FRUTTOSIO DIFOSFATO SODICO</t>
  </si>
  <si>
    <t>"5 G/50 ML POLVERE E SOLVENTE PER SOLUZIONE PER INFUSIONE" 1 FLACONE POLVERE 5 G + 1 FLACONE SOLVENTE 50 ML</t>
  </si>
  <si>
    <t>BIOMEDICA FOSCAMA INDUSTRIA CHIMICO-FARMACEUTICA S.P.A.</t>
  </si>
  <si>
    <t>Sospensione commercializzazione</t>
  </si>
  <si>
    <t>"10 G/100 ML SOLUZIONE PER INFUSIONE" 1 FLACONE 100 ML</t>
  </si>
  <si>
    <t>" 10 G/100 ML SOLUZIONE PER INFUSIONE "FLACONE DA 100 ML SENZA SET DA INFUSIONE</t>
  </si>
  <si>
    <t>"10 G/100 ML SOLUZIONE PER INFUSIONE" 20 FLACONI SENZA SETA DA INFUSIONE</t>
  </si>
  <si>
    <t>ESARONDIL</t>
  </si>
  <si>
    <t>METACICLINA</t>
  </si>
  <si>
    <t>4 CAPSULE</t>
  </si>
  <si>
    <t>DIFA COOPER S.P.A.</t>
  </si>
  <si>
    <t>ESBRIET</t>
  </si>
  <si>
    <t>PIRFENIDONE</t>
  </si>
  <si>
    <t>"267 MG - CAPSULA RIGIDA - USO ORALE - BLISTER(PVC/PE/PCTFE/ALL)" 63 (1X21 E 1X42) CAPSULE</t>
  </si>
  <si>
    <t>ROCHE REGISTRATION GMBH</t>
  </si>
  <si>
    <t>"267 MG - CAPSULA RIGIDA - USO ORALE - BLISTER(PVC/PE/PCTFE/ALL)" 252 (4X63) CAPSULE</t>
  </si>
  <si>
    <t>ESCITALOPRAM PENSA</t>
  </si>
  <si>
    <t>ESCITALOPRAM OSSALATO</t>
  </si>
  <si>
    <t>"20 MG COMPRESSE RIVESTITE CON FILM" 28 COMPRESSE IN BLISTER PVC/PE/PVDC/AL</t>
  </si>
  <si>
    <t>ESCITALOPRAM SANDOZ BV</t>
  </si>
  <si>
    <t>"10 MG COMPRESSE ORODISPERSIBILI" 28 COMPRESSE IN BLISTER CARTA/PET/AL/PVC/AL/OPA</t>
  </si>
  <si>
    <t>"20 MG COMPRESSE ORODISPERSIBILI" 28 COMPRESSE IN BLISTER CARTA/PET/AL/PVC/AL/OPA</t>
  </si>
  <si>
    <t>ESCITALOPRAM SANDOZ GMBH</t>
  </si>
  <si>
    <t>"20 MG/ML GOCCE ORALI, SOLUZIONE" 1 FLACONE IN VETRO DA 15 ML CON CONTAGOCCE</t>
  </si>
  <si>
    <t>ESCITALOPRAM SUN</t>
  </si>
  <si>
    <t>"10 MG COMPRESSE RIVESTITE CON FILM " 28 COMPRESSE IN BLISTER PA/AL/PVC/AL</t>
  </si>
  <si>
    <t>" 20 MG COMPRESSE RIVESTITE CON FILM " 28 COMPRESSE IN BLISTER PA/AL/PVC/AL</t>
  </si>
  <si>
    <t>ESCITALOPRAM TEVA PHARMA B.V.</t>
  </si>
  <si>
    <t>TEVA PHARMA B.V.</t>
  </si>
  <si>
    <t>ESERINA S.A.L.F.</t>
  </si>
  <si>
    <t>FISOSTIGMINA SALICILATO</t>
  </si>
  <si>
    <t>" 1 MG/ML SOLUZIONE INIETTABILE " 5 FIALE DA 1 ML</t>
  </si>
  <si>
    <t>S.A.L.F. SPA  LABORATORIO FARMACOLOGICO</t>
  </si>
  <si>
    <t>ESMERON</t>
  </si>
  <si>
    <t>ROCURONIO BROMURO</t>
  </si>
  <si>
    <t>"10 MG/ML SOLUZIONE INIETTABILE PER USO ENDOVENOSO" 10 FLACONCINI DA 10 ML</t>
  </si>
  <si>
    <t>ESOLUT</t>
  </si>
  <si>
    <t>PROGESTERONE</t>
  </si>
  <si>
    <t>"2,5 G CREMA VAGINALE" TUBO DA 30 G + 6 APPLICATORI</t>
  </si>
  <si>
    <t>ESOMEPRAZOLO ACCORD</t>
  </si>
  <si>
    <t>ESOMEPRAZOLO SODICO</t>
  </si>
  <si>
    <t>"40 MG POLVERE PER SOLUZIONE INIETTABILE/INFUSIONE" 10 FLACONCINI IN VETRO</t>
  </si>
  <si>
    <t>ESOMEPRAZOLO ALMUS</t>
  </si>
  <si>
    <t>ESOMEPRAZOLO</t>
  </si>
  <si>
    <t>" 20 MG COMPRESSE GASTRORESISTENTI " 14 COMPRESSE GASTRORESISTENTI  IN BLISTER AL/AL</t>
  </si>
  <si>
    <t>" 40 MG COMPRESSE GASTRORESISTENTI " 14 COMPRESSE GASTRORESISTENTI  IN BLISTER AL/AL</t>
  </si>
  <si>
    <t>ESOMEPRAZOLO PENSA PHARMA</t>
  </si>
  <si>
    <t>"20 MG CAPSULE RIGIDE GASTRORESISTENTI" 14 CAPSULE IN BLISTER AL/AL</t>
  </si>
  <si>
    <t>"40 MG CAPSULE RIGIDE GASTRORESISTENTI" 14 CAPSULE IN BLISTER AL/AL</t>
  </si>
  <si>
    <t>"20 MG CAPSULE RIGIDE GASTRORESISTENTI" 28 CAPSULE IN BLISTER AL/AL</t>
  </si>
  <si>
    <t>"40 MG CAPSULE RIGIDE GASTRORESISTENTI" 28 CAPSULE IN BLISTER AL/AL</t>
  </si>
  <si>
    <t>"20 MG CAPSULE RIGIDE GASTRORESISTENTI" 14 CAPSULE IN FLACONE PE</t>
  </si>
  <si>
    <t>"20 MG CAPSULE RIGIDE GASTRORESISTENTI" 28 CAPSULE IN FLACONE PE</t>
  </si>
  <si>
    <t>"40 MG CAPSULE RIGIDE GASTRORESISTENTI" 14 CAPSULE IN FLACONE PE</t>
  </si>
  <si>
    <t>"40 MG CAPSULE RIGIDE GASTRORESISTENTI" 28 CAPSULE IN FLACONE PE</t>
  </si>
  <si>
    <t>ESOMEPRAZOLO SUN</t>
  </si>
  <si>
    <t>"40 MG POLVERE PER SOLUZIONE INIETTABILE/PER INFUSIONE" 1 FLACONCINO 5 ML</t>
  </si>
  <si>
    <t>ESOMEPRAZOLO SUN PHARMACEUTICAL INDUSTRIES (EUROPE) BV</t>
  </si>
  <si>
    <t>ESOMEPRAZOLO MAGNESIO TRIIDRATO</t>
  </si>
  <si>
    <t>"20 MG COMPRESSE GASTRORESISTENTI" 28 COMPRESSE IN BLISTER OPA/AL/PVC/AL</t>
  </si>
  <si>
    <t>"40 MG COMPRESSE GASTRORESISTENTI" 28 COMPRESSE IN BLISTER OPA/AL/PVC/AL</t>
  </si>
  <si>
    <t>ESOMEPRAZOLO TEVA ITALIA</t>
  </si>
  <si>
    <t>"20 MG CAPSULE RIGIDE GASTRORESISTENTI" 14 CAPSULE IN BLISTER OPA/AL/PE-AL</t>
  </si>
  <si>
    <t>"40 MG CAPSULE RIGIDE GASTRORESISTENTI" 14 CAPSULE IN BLISTER OPA/AL/PE-AL</t>
  </si>
  <si>
    <t>ESOPRAL</t>
  </si>
  <si>
    <t>"40 MG POLVERE PER SOLUZIONE INIETTABILE/PER INFUSIONE" 1 FLACONCINO POLVERE</t>
  </si>
  <si>
    <t>ESTALIS SEQUI</t>
  </si>
  <si>
    <t>ESTRADIOLO/NORETISTERONE</t>
  </si>
  <si>
    <t>"CEROTTI TRANSDERMICI" 4 CEROTTI FASE I 50 MCG/24 H  + 4 CEROTTI FASE II 50+250 MCG/24 H</t>
  </si>
  <si>
    <t>ESTO</t>
  </si>
  <si>
    <t>GLICEROFOSFORILETANOLAMINA MONOIDRATA</t>
  </si>
  <si>
    <t>"500 MG/5 ML SOLUZIONE ORALE" 10 FLACONI DA 5 ML</t>
  </si>
  <si>
    <t>"1000 MG/4 ML SOLUZIONE INIETTABILE" 3 FIALE DA 4 ML</t>
  </si>
  <si>
    <t>ESTRADERM MX</t>
  </si>
  <si>
    <t>"100 MCG/DIE CEROTTO TRANSDERMICO" 8 CEROTTI</t>
  </si>
  <si>
    <t>ETHYOL</t>
  </si>
  <si>
    <t>AMIFOSTINA</t>
  </si>
  <si>
    <t>3 FLACONI 500 MG</t>
  </si>
  <si>
    <t>CLINIGEN HEALTHCARE B.V.</t>
  </si>
  <si>
    <t>ETIDEME</t>
  </si>
  <si>
    <t>CIMETIDINA</t>
  </si>
  <si>
    <t>"200 MG COMPRESSE EFFERVESCENTI" 10 COMPRESSE</t>
  </si>
  <si>
    <t>ETOPOSIDE ACCORD</t>
  </si>
  <si>
    <t>ETOPOSIDE</t>
  </si>
  <si>
    <t>" 20 MG/ML CONCENTRATO PER SOLUZIONE PER INFUSIONE " 1 FLACONCINO IN VETRO DA 100 MG/5 ML</t>
  </si>
  <si>
    <t>" 20 MG/ML CONCENTRATO PER SOLUZIONE PER INFUSIONE " 1 FLACONCINO IN VETRO DA 250 MG/12,5ML</t>
  </si>
  <si>
    <t>"20 MG/ML CONCENTRATO PER SOLUZIONE PER INFUSIONE" 1 FLACONCINO VETRO DA 20 ML</t>
  </si>
  <si>
    <t>"20 MG/ML CONCENTRATO PER SOLUZIONE PER INFUSIONE" 1 FLACONCINO VETRO DA 25 ML</t>
  </si>
  <si>
    <t>ETOPOSIDE TEVA</t>
  </si>
  <si>
    <t>"20 MG/ML CONCENTRATO PER SOLUZIONE PER INFUSIONE" 1 FLACONCINO DA 50 ML</t>
  </si>
  <si>
    <t>ETORICOXIB PENSA</t>
  </si>
  <si>
    <t>"90 MG COMPRESSE RIVESTITE CON FILM" 20X1 COMPRESSE IN BLISTER AL-AL</t>
  </si>
  <si>
    <t>ETORICOXIB SANDOZ</t>
  </si>
  <si>
    <t>"60 MG COMPRESSE RIVESTITE CON FILM" 20 COMPRESSE IN BLISTER AL/AL</t>
  </si>
  <si>
    <t>ETORICOXIB TECNIGEN</t>
  </si>
  <si>
    <t>"120 MG COMPRESSE RIVESTITE CON FILM" 5 COMPRESSE IN BLISTER PA/AL/PVC/AL</t>
  </si>
  <si>
    <t>ETRIVEX</t>
  </si>
  <si>
    <t>CLOBETASOLO PROPIONATO</t>
  </si>
  <si>
    <t>"500 MCG/G SHAMPOO" 1 FLACONE HDPE DA 60 ML</t>
  </si>
  <si>
    <t>EUGASTRAN</t>
  </si>
  <si>
    <t>LANSOPRAZOLO</t>
  </si>
  <si>
    <t>" 15 MG CAPSULE RIGIDE GASTRORESISTENTI" 14 CAPSULE</t>
  </si>
  <si>
    <t>" 30 MG CAPSULE RIGIDE GASTRORESISTENTI" 14 CAPSULE</t>
  </si>
  <si>
    <t>EUKETOS</t>
  </si>
  <si>
    <t>KETOPROFENE</t>
  </si>
  <si>
    <t>"200 MG CAPSULE RIGIDE A RILASCIO PROLUNGATO" 28 CAPSULE</t>
  </si>
  <si>
    <t>EURARTESIM</t>
  </si>
  <si>
    <t>ARTENIMOL AND PIPERAQUINE</t>
  </si>
  <si>
    <t>"160MG/20MG - COMPRESSA RIVESTITA CON FILM - USO ORALE - BLISTER (PVC/PVDC/AL)" 3 COMPRESSE</t>
  </si>
  <si>
    <t>EUROCAL D3</t>
  </si>
  <si>
    <t>"500 MG/440 UI GRANULATO EFFERVESCENTE" 30 BUSTINE</t>
  </si>
  <si>
    <t>"500 MG/440 UI GRANULATO EFFERVESCENTE" 46 BUSTINE</t>
  </si>
  <si>
    <t>"1000 MG/880 UI GRANULATO EFFERVESCENTE" 46 BUSTINE</t>
  </si>
  <si>
    <t>EUTIROX</t>
  </si>
  <si>
    <t>L-TIROXINA SODICA</t>
  </si>
  <si>
    <t>"75 MICROGRAMMI COMPRESSE" 50 COMPRESSE IN BLISTER PVC/AL</t>
  </si>
  <si>
    <t>MERCK SERONO S.P.A.</t>
  </si>
  <si>
    <t>"125 MICROGRAMMI COMPRESSE" 50 COMPRESSE IN BLISTER PVC/AL</t>
  </si>
  <si>
    <t>"100 MICROGRAMMI COMPRESSE" 50 COMPRESSE IN BLISTER PVC/AL</t>
  </si>
  <si>
    <t>EVERVENT</t>
  </si>
  <si>
    <t>FORMOTEROLO FUMARATO</t>
  </si>
  <si>
    <t>"12 MICROGRAMMI POLVERE PER INALAZIONE, CAPSULE RIGIDE" FLACONE DA 100 CAPSULE ED UN EROGATORE</t>
  </si>
  <si>
    <t>"12 MICROGRAMMI POLVERE PER INALAZIONE, CAPSULE RIGIDE" FLACONE DA 60 CAPSULE ED UN EROGATORE</t>
  </si>
  <si>
    <t>EXELON</t>
  </si>
  <si>
    <t>1 FLACONE DA 50 ML DI SOLUZIONE ORALE</t>
  </si>
  <si>
    <t>NOVARTIS EUROPHARM LTD</t>
  </si>
  <si>
    <t>EXEMESTANE AUROBINDO</t>
  </si>
  <si>
    <t>EXEMESTANO</t>
  </si>
  <si>
    <t>" 25 MG COMPRESSE RIVESTITE CON FILM " 30 COMPRESSE IN BLISTER AL/PVC/</t>
  </si>
  <si>
    <t>EXEMESTANE SANDOZ</t>
  </si>
  <si>
    <t>"25 MG COMPRESSE RIVESTITE CON FILM" 30 COMPRESSE IN BLISTER PVC/PVDC-ALU</t>
  </si>
  <si>
    <t>EXJADE</t>
  </si>
  <si>
    <t>DEFERASIROX</t>
  </si>
  <si>
    <t>"125 MG COMPRESSE DISPERSIBILI- USO ORALE" BLISTER PVC/PE/PVDC/ALU 28 COMPRESSE</t>
  </si>
  <si>
    <t>"250 MG COMPRESSA DISPERSIBILE - USO ORALE" BLISTER PVC/PE/PVDC/ALU 28 COMPRESSE</t>
  </si>
  <si>
    <t>"500 MG COMPRESSA DISPERSIBILE - USO ORALE" BLISTER PVC/PE/PVDC/ALU 28 COMPRESSE</t>
  </si>
  <si>
    <t>EXORTA</t>
  </si>
  <si>
    <t>ROSUVASTATINA SALE DI CALCIO</t>
  </si>
  <si>
    <t>"5 MG COMPRESSE RIVESTITE CON FILM" 28 COMPRESSE IN BLISTER OPA/AL/PVC-AL</t>
  </si>
  <si>
    <t>"40 MG COMPRESSE RIVESTITE CON FILM" 28 COMPRESSE IN BLISTER OPA/AL/PVC-AL</t>
  </si>
  <si>
    <t>EXVIERA</t>
  </si>
  <si>
    <t>DASABUVIR</t>
  </si>
  <si>
    <t>250 MG COMPRESSA RIVESTITA CON FILM - USO ORALE  - BLISTER (PVC/PE/PCTFE/ALU) - 56 COMPRESSE (CONFEZIONE MULTIPLA)</t>
  </si>
  <si>
    <t>ABBVIE DEUTSCHLAND GMBH &amp; CO. KG</t>
  </si>
  <si>
    <t>EZETIMIBE E SIMVASTATINA SANDOZ</t>
  </si>
  <si>
    <t>EZETIMIBE + SIMVASTATINA</t>
  </si>
  <si>
    <t>"10 MG/40 MG COMPRESSE" 30 COMPRESSE IN BLISTER OPA/AL/PVC/AL</t>
  </si>
  <si>
    <t>EZETIMIBE E SIMVASTATINA TEVA</t>
  </si>
  <si>
    <t>"10 MG/10 MG COMPRESSE" 30 COMPRESSE IN FLACONE HDPE</t>
  </si>
  <si>
    <t>EZETIMIBE E SIMVASTATINA ZENTIVA</t>
  </si>
  <si>
    <t>"10 MG/10 MG COMPRESSE" 30 COMPRESSE IN BLISTER OPA/AL/PVC/AL</t>
  </si>
  <si>
    <t>EZETIMIBE KRKA</t>
  </si>
  <si>
    <t>EZETIMIBE</t>
  </si>
  <si>
    <t>"10 MG COMPRESSE" 30 COMPRESSE IN BLISTER OPA/AL/PVC/AL</t>
  </si>
  <si>
    <t>EZETIMIBE TEVA</t>
  </si>
  <si>
    <t>" 10 MG COMPRESSE " 30 COMPRESSE IN BLISTER PVC/ACLAR/PVC/AL</t>
  </si>
  <si>
    <t>FAMCICLOVIR MYLAN GENERICS</t>
  </si>
  <si>
    <t>FAMCICLOVIR</t>
  </si>
  <si>
    <t>"500 MG COMPRESSE RIVESTITE CON FILM " 21 COMPRESSE IN BLISTER PVC/PE/PVDC/AL</t>
  </si>
  <si>
    <t>FAMPYRA</t>
  </si>
  <si>
    <t>FAMPRIDINA</t>
  </si>
  <si>
    <t>"10 MG - COMPRESSA A RILASCIO PROLUNGATO - USO ORALE - FLACONE (HDPE)" 56 COMPRESSE (4 FLACONI DA 14)</t>
  </si>
  <si>
    <t>BIOGEN NETHERLANDS BV</t>
  </si>
  <si>
    <t>FARESTON</t>
  </si>
  <si>
    <t>TOREMIFENE</t>
  </si>
  <si>
    <t>100 COMPRESSE 60 MG</t>
  </si>
  <si>
    <t>FARGANESSE</t>
  </si>
  <si>
    <t>PROMETAZINA CLORIDRATO</t>
  </si>
  <si>
    <t>"25 MG COMPRESSE RIVESTITE" 20 COMPRESSE</t>
  </si>
  <si>
    <t>ANSERIS FARMA SRL</t>
  </si>
  <si>
    <t>FARLUTAL</t>
  </si>
  <si>
    <t>"500 MG/2,5 ML SOSPENSIONE INIETTABILE PER USO INTRAMUSCOLARE" 1 FLACONE</t>
  </si>
  <si>
    <t>"1 G/5 ML SOSPENSIONE INIETTABILE PER USO INTRAMUSCOLARE" 1 FLACONE</t>
  </si>
  <si>
    <t>"500 MG/5 ML SOSPENSIONE ORALE" 30 FLACONCINI DA 5 ML</t>
  </si>
  <si>
    <t>"1 G/10 ML SOSPENSIONE ORALE" 15 FLACONCINI DA 10 ML</t>
  </si>
  <si>
    <t>FARMORUBICINA</t>
  </si>
  <si>
    <t>"10 MG/5 ML POLVERE E SOLVENTE PER INFUSIONE ENDOVENOSA ED ENDOVESCICALE" 1 FLACONCINO POLVERE + 1 FIALA SOLVENTE DA 5 ML</t>
  </si>
  <si>
    <t>FARVICETT</t>
  </si>
  <si>
    <t>CETRIMIDE + CLOREXIDINA GLUCONATO</t>
  </si>
  <si>
    <t>" 1,5% + 15% CONCENTRATO PER SOLUZIONE CUTANEA " 12 FLACONI 1 LITRO</t>
  </si>
  <si>
    <t>NUOVA FARMEC S.R.L.</t>
  </si>
  <si>
    <t>FASLODEX</t>
  </si>
  <si>
    <t>FULVESTRANT</t>
  </si>
  <si>
    <t>250 MG/5 ML SOLUZIONE INIETTABILE 1 SIRINGA PRERIEMPITA 5 ML + 1 AGO USO INTRAMUSCOLARE</t>
  </si>
  <si>
    <t>FASTJEKT</t>
  </si>
  <si>
    <t>EPINEFRINA</t>
  </si>
  <si>
    <t>"150 MICROGRAMMI SOLUZIONE INIETTABILE IN PENNA PRERIEMPITA"  1 INIETTORE DA 2 ML</t>
  </si>
  <si>
    <t>"300 MICROGRAMMI SOLUZIONE INIETTABILE IN PENNA PRERIEMPITA" 1 INIETTORE DA 2 ML</t>
  </si>
  <si>
    <t>FASTUM</t>
  </si>
  <si>
    <t>"25 MG COMPRESSE" 20 COMPRESSE</t>
  </si>
  <si>
    <t>FDP FISIOPHARMA</t>
  </si>
  <si>
    <t>"5 G POLVERE E SOLVENTE PER SOLUZIONE PER INFUSIONE" 1 FLACONE POLVERE DA 5 G + 1 FLACONE SOLVENTE DA 50 ML</t>
  </si>
  <si>
    <t>FISIOPHARMA S.R.L.</t>
  </si>
  <si>
    <t>"10 G POLVERE E SOLVENTE PER SOLUZIONE PER INFUSIONE" 1 FLACONE POLVERE DA 10 G + 1 FLACONE SOLVENTE DA 100 ML</t>
  </si>
  <si>
    <t>FEBUXOSTAT TEVA</t>
  </si>
  <si>
    <t>FEBUXOSTAT</t>
  </si>
  <si>
    <t>"80 MG COMPRESSE RIVESTITE CON FILM" 28 COMPRESSE IN BLISTER PVC/PVDC/AL</t>
  </si>
  <si>
    <t>"120 MG COMPRESSE RIVESTITE CON FILM" 28 COMPRESSE IN BLISTER PVC/PVDC/AL</t>
  </si>
  <si>
    <t>FELDENE</t>
  </si>
  <si>
    <t>"20 MG COMPRESSE SOLUBILI" 30 COMPRESSE</t>
  </si>
  <si>
    <t>FELODIPINA ZENTIVA</t>
  </si>
  <si>
    <t>FELODIPINA</t>
  </si>
  <si>
    <t>"5 MG COMPRESSE A RILASCIO PROLUNGATO" 28 COMPRESSE IN BLISTER PVC/AL</t>
  </si>
  <si>
    <t>FEMIPRES PLUS</t>
  </si>
  <si>
    <t>IDROCLOROTIAZIDE + MOEXIPRIL CLORIDRATO</t>
  </si>
  <si>
    <t>"15MG/25MG COMPRESSE RIVESTITE CON FILM" 14 COMPRESSE IN BLISTER</t>
  </si>
  <si>
    <t>FEMITY</t>
  </si>
  <si>
    <t>ESTRADIOLO EMIIDRATO/LEVONORGESTREL</t>
  </si>
  <si>
    <t>"1.5 MG/0.525 MG CEROTTI TRANSDERMICI" 1  SCATOLA  DA 4 BUSTINE</t>
  </si>
  <si>
    <t>FEMSEVEN</t>
  </si>
  <si>
    <t>ESTRADIOLO EMIIDRATO</t>
  </si>
  <si>
    <t>"50" 4 CEROTTI TRANSDERMICI 15 CM2 (50 MCG/DIE)</t>
  </si>
  <si>
    <t>FENDAZEL</t>
  </si>
  <si>
    <t>FINASTERIDE</t>
  </si>
  <si>
    <t>" 1 MG COMPRESSE RIVESTITE CON FILM" 28 COMPRESSE IN BLISTER AL/PVC</t>
  </si>
  <si>
    <t>FENISTIL</t>
  </si>
  <si>
    <t>DIMETINDENE MALEATO</t>
  </si>
  <si>
    <t>"1 MG COMPRESSE RIVESTITE"30 COMPRESSE</t>
  </si>
  <si>
    <t>FENTANIL HEXAL</t>
  </si>
  <si>
    <t>FENTANIL</t>
  </si>
  <si>
    <t>"25 MCG/ORA CEROTTI TRANSDERMICI" 3 CEROTTI IN BUSTINA CARTA/PE/AL/PE</t>
  </si>
  <si>
    <t>"50 MCG/ORA CEROTTI TRANSDERMICI" 3 CEROTTI IN BUSTINA CARTA/PE/AL/PE</t>
  </si>
  <si>
    <t>"100 MCG/ORA CEROTTI TRANSDERMICI" 3 CEROTTI IN BUSTINA CARTA/PE/AL/PE</t>
  </si>
  <si>
    <t>"75 MCG/ORA CEROTTI TRANSDERMICI" 3 CEROTTI IN BUSTINA CARTA/PE/AL/PE</t>
  </si>
  <si>
    <t>FENTANYL HAMELN</t>
  </si>
  <si>
    <t>"50 MICROGRAMMI/ML SOLUZIONE INIETTABILE" 1 FLACONCINO IN VETRO DA 50 ML</t>
  </si>
  <si>
    <t>Confezioni importate non ancora disponibili; si rilascia autorizzazione all’importazione alle strutture sanitarie per analogo autorizzato all'estero, in attesa della disponibilità delle confezioni importate o nel caso in cui le strutture interessate riscontrino difficoltà a reperire il medicinale importato dal titolare A.I.C.</t>
  </si>
  <si>
    <t>FIBROVEIN</t>
  </si>
  <si>
    <t>SODIO TETRADECILSOLFATO</t>
  </si>
  <si>
    <t>"0,2% SOLUZIONE INIETTABILE PER USO ENDOVENOSO" 10 FLACONCINI VETRO TIPO I MONODOSE 5 ML</t>
  </si>
  <si>
    <t>STD PHARMACEUTICAL(IRELAND)LIMITED</t>
  </si>
  <si>
    <t>FINASTERIDE AHCL</t>
  </si>
  <si>
    <t>"1 MG COMPRESSE RIVESTITE CON FILM" 84 COMPRESSE IN BLISTER AL-AL</t>
  </si>
  <si>
    <t>FINASTERIDE FIDIA</t>
  </si>
  <si>
    <t>"1 MG COMPRESSE RIVESTITE CON FILM" 28 COMPRESSE IN BLISTER AL/AL</t>
  </si>
  <si>
    <t>"1 MG COMPRESSE RIVESTITE CON FILM" 28 COMPRESSE IN FLACONE HDPE</t>
  </si>
  <si>
    <t>FINASTERIDE HEXAL</t>
  </si>
  <si>
    <t>"5 MG COMPRESSE RIVESTITE CON FILM" 15 COMPRESSE IN BLISTER PVC/AL</t>
  </si>
  <si>
    <t>FINASTERIDE PENSA</t>
  </si>
  <si>
    <t>"5 MG COMPRESSE RIVESTITE CON FILM" 15 COMPRESSE IN BLISTER PVC/PE/PVDC-AL</t>
  </si>
  <si>
    <t>FINASTERIDE SUN</t>
  </si>
  <si>
    <t>"5 MG COMPRESSE RIVESTITE CON FILM" 15 COMPRESSE IN BLISTER PVC/PVDC/AL</t>
  </si>
  <si>
    <t>FIRMAGON</t>
  </si>
  <si>
    <t>DEGARELIX</t>
  </si>
  <si>
    <t>"80 MG - POLVERE E SOLVENTE PER SOLUZIONE INIETTABILE - USO SOTTOCUTANEO - POLVERE: FLACONCINO (VETRO) SOLVENTE: SIRINGA PRE-RIEMPITA (VETRO) - FLACONCINO POLVERE: 80 MG - SIRINGA PRE-RIEMPITA SOLVENTE: 4,2 ML" 1 FLACONCINO+1 SIRINGA PRE-RIEMPITA+1 STANTUFFO+1 ADATTATORE PER FLACONCINO + 1 AGO</t>
  </si>
  <si>
    <t>FERRING PHARMACEUTICALS A/S</t>
  </si>
  <si>
    <t>"120 MG - POLVERE E SOLVENTE PER SOLUZIONE INIETTABILE - USO SOTTOCUTANEO - POLVERE: FLACONCINO (VETRO) SOLVENTE: SIRINGA PRE-RIEMPITA (VETRO) - FLACONCINO POLVERE: 120 MG - SIRINGA PRE-RIEMPITA SOLVENTE: 3 ML" 2 FLACONCINI+2 SIRINGHE PRE-RIEMPITE+2 STANTUFFI+2 ADATTATORI PER FLACONCINO+2 AGHI</t>
  </si>
  <si>
    <t>FIXODIN</t>
  </si>
  <si>
    <t>FEXOFENADINA CLORIDRATO</t>
  </si>
  <si>
    <t>"180 MG COMPRESSE RIVESTITE CON FILM" 20 COMPRESSE IN BLISTER PVC/PVDC/AL</t>
  </si>
  <si>
    <t>"120 MG COMPRESSE RIVESTITE CON FILM" 20 COMPRESSE IN BLISTER PVC/PVDC/AL</t>
  </si>
  <si>
    <t>FLAGYL</t>
  </si>
  <si>
    <t>METRONIDAZOLO</t>
  </si>
  <si>
    <t>" 500 MG OVULI " 10 OVULI</t>
  </si>
  <si>
    <t>FLECTADOL</t>
  </si>
  <si>
    <t>LISINA ACETILSALICILATO</t>
  </si>
  <si>
    <t>"1 G/5 ML POLVERE E SOLVENTE PER SOLUZIONE INIETTABILE PER USO IM E EV" 6 FLACONCINI POLVERE + 6 FIALE SOLVENTI DA 5 ML</t>
  </si>
  <si>
    <t>carenza relativa sia al canale retail che al canale ospedaliero:
- canale retail: medicinale disponibile solo per emergenze; fine carenza prevista per il 28/02/2021
- canale ospedaliero: distribuzione contingentata</t>
  </si>
  <si>
    <t>FLEXBUMIN</t>
  </si>
  <si>
    <t>"200G/L SOLUZIONE PER INFUSIONE" 1 SACCA PE DA 100 ML</t>
  </si>
  <si>
    <t>"250G/L SOLUZIONE PER INFUSIONE" 1 SACCA PE DA 50 ML</t>
  </si>
  <si>
    <t>FLEXEN</t>
  </si>
  <si>
    <t>"200MG CAPSULE RIGIDE A RILASCIO PROLUNGATO" 30 CAPSULE</t>
  </si>
  <si>
    <t>"5% GEL" TUBO 50G</t>
  </si>
  <si>
    <t>FLOGOFENAC</t>
  </si>
  <si>
    <t>100 MG CAPSULE RIGIDE A RILASCIO PROLUNGATO, 21 CAPSULE</t>
  </si>
  <si>
    <t>FLUAD</t>
  </si>
  <si>
    <t>"SOSPENSIONE INIETTABILE PER USO INTRAMUSCOLARE" 1 SIRINGA PRERIEMPITA DA 0,5 ML</t>
  </si>
  <si>
    <t>"SOSPENSIONE INIETTABILE PER USO INTRAMUSCOLARE " 10 SIRINGHE PRERIEMPITE DA 0,5 ML CON AGO</t>
  </si>
  <si>
    <t>FLUCELVAX TETRA</t>
  </si>
  <si>
    <t>VACCINO ANTIINFLUENZALE**</t>
  </si>
  <si>
    <t>0,5 ML - SOSPENSIONE INIETTABILE - USO INTRAMUSCOLARE - SIRINGA PRERIEMPITA (VETRO) CON AGO  0,5 ML - 1 SIRINGA PRERIEMPITA</t>
  </si>
  <si>
    <t>SEQIRUS NETHERLANDS B.V.</t>
  </si>
  <si>
    <t>0,5 ML - SOSPENSIONE INIETTABILE - USO INTRAMUSCOLARE - SIRINGA PRERIEMPITA (VETRO) CON AGO  0,5 ML - 10 SIRINGHE PRERIEMPITE</t>
  </si>
  <si>
    <t>FLUCLOXACILLINA</t>
  </si>
  <si>
    <t>FLUCLOXACILLINA SODICA</t>
  </si>
  <si>
    <t>FLUCONAZOLO RATIOPHARM</t>
  </si>
  <si>
    <t>"150 MG CAPSULE RIGIDE" 2 CAPSULE RIGIDE IN BLISTER PVC/PVDC/AL</t>
  </si>
  <si>
    <t>FLUDARABINA ACCORD</t>
  </si>
  <si>
    <t>FLUDARABINA</t>
  </si>
  <si>
    <t>"25 MG/ML CONCENTRATO PER SOLUZIONE INIETTABILE O PER INFUSIONE" 1 FLACONCINO IN VETRO DA 2 ML</t>
  </si>
  <si>
    <t>FLUDARABINA AUROBINDO</t>
  </si>
  <si>
    <t>"25 MG/ML CONCENTRATO PER SOLUZIONE INIETTABILE O PER INFUSIONE" 5 FLACONCINI IN VETRO DA 2 ML</t>
  </si>
  <si>
    <t>FLUDARABINA AUROBINDO PHARMA ITALIA</t>
  </si>
  <si>
    <t>FLUDARABINA FOSFATO</t>
  </si>
  <si>
    <t>"50 MG POLVERE PER SOLUZIONE INIETTABILE O PER INFUSIONE" 5 FLACONCINI</t>
  </si>
  <si>
    <t>FLUDARABINA TEVA</t>
  </si>
  <si>
    <t>"25 MG/ML CONCENTRATO PER SOLUZIONE INIETTABILE O PER INFUSIONE" 1 FLACONCINO DI VETRO DA 2 ML</t>
  </si>
  <si>
    <t>FLUIBRON</t>
  </si>
  <si>
    <t>AMBROXOLO CLORIDRATO</t>
  </si>
  <si>
    <t>"15 MG/2 ML SOLUZIONE DA NEBULIZZARE" 6 FIALE 2 ML</t>
  </si>
  <si>
    <t>"ADULTI 30 MG COMPRESSE EFFERVESCENTI" TUBO DA 20 COMPRESSE</t>
  </si>
  <si>
    <t>FLUIBRON FEBBRE E DOLORE</t>
  </si>
  <si>
    <t>IBUPROFENE</t>
  </si>
  <si>
    <t>"BAMBINI 100 MG/5 ML SOSPENSIONE ORALE GUSTO ARANCIA SENZA ZUCCHERO" 1 FLACONE DA 150 ML</t>
  </si>
  <si>
    <t>FLUIMUCIL GOLA</t>
  </si>
  <si>
    <t>NAPROXENATO DI CETILTRIMETILAMMONIO</t>
  </si>
  <si>
    <t>"0,223% SPRAY PER MUCOSA ORALE" FLACONE DA  15 ML CON EROGATORE</t>
  </si>
  <si>
    <t>FLUIMUCIL MUCOLITICO</t>
  </si>
  <si>
    <t>ACETILCISTEINA</t>
  </si>
  <si>
    <t>"100 MG/5 ML SCIROPPO" FLACONE 150 ML</t>
  </si>
  <si>
    <t>"100 MG GRANULATO PER SOLUZIONE ORALE" 30 BUSTINE</t>
  </si>
  <si>
    <t>"200 MG GRANULATO PER SOLUZIONE ORALE SENZA ZUCCHERO" 30 BUSTINE</t>
  </si>
  <si>
    <t>" 200 MG COMPRESSE OROSOLUBILI " 20 COMPRESSE</t>
  </si>
  <si>
    <t>FLUIMUCIL TOSSE SEDATIVO</t>
  </si>
  <si>
    <t>CLOPERASTINA FENDIZOATO</t>
  </si>
  <si>
    <t>"1,8 MG/ML SCIROPPO" 1 FLACONE 200 ML</t>
  </si>
  <si>
    <t>FLUMETOL</t>
  </si>
  <si>
    <t>FLUOROMETOLONE</t>
  </si>
  <si>
    <t>"0,1% UNGUENTO OFTALMICO" TUBO DA 5 G</t>
  </si>
  <si>
    <t>THEA FARMA S.P.A.</t>
  </si>
  <si>
    <t>FLUOROURACILE AHCL</t>
  </si>
  <si>
    <t>FLUOROURACILE</t>
  </si>
  <si>
    <t>"50MG/ML SOLUZIONE INIETTABILE O INFUSIONE " 1 FLACONCINO IN VETRO DA 20 ML</t>
  </si>
  <si>
    <t>FLUOROURACILE TEVA</t>
  </si>
  <si>
    <t>" 500 MG/10 ML SOLUZIONE PER INFUSIONE " 1 FLACONCINO DA 10 ML</t>
  </si>
  <si>
    <t>" 250 MG/5 ML SOLUZIONE PER INFUSIONE " 1 FLACONCINO DA 5 ML</t>
  </si>
  <si>
    <t>FLUOXETINA GENERICS</t>
  </si>
  <si>
    <t>" 20 MG COMPRESSA DISPERSIBILE " 28 COMPRESSE IN BLISTER PVC/PE/PVDC/AL</t>
  </si>
  <si>
    <t>FLUOXETINA MYLAN GENERICS</t>
  </si>
  <si>
    <t>BLISTER PVC/PVDC/AL 28 CAPSULE RIGIDE DA 20 MG</t>
  </si>
  <si>
    <t>FLUOXETINA RATIOPHARM</t>
  </si>
  <si>
    <t>12 COMPRESSE SOLUBILI DA 20 MG IN BLISTER (PVC/PE/PVDC)</t>
  </si>
  <si>
    <t>28 COMPRESSE SOLUBILI DA 20 MG IN BLISTER (PVC/PE/PVDC)</t>
  </si>
  <si>
    <t>la carenza è relativa sia al canale retail che al canale ospedaliero:                                                    - inizio carenza canale retail:    11/12/2019                                                         - carenza canale ospedaliero: 29/02/2020</t>
  </si>
  <si>
    <t>FLUOXETINA ZENTIVA</t>
  </si>
  <si>
    <t>"20 MG CAPSULE RIGIDE" 28 CAPSULE</t>
  </si>
  <si>
    <t>FLURBIPROFENE EG LABORATORI EUROGENERICI</t>
  </si>
  <si>
    <t>FLURBIPROFENE</t>
  </si>
  <si>
    <t>"8,75 MG PASTIGLIE GUSTO MENTA" 24 PASTIGLIE IN BLISTER PVC/PVDC/AL</t>
  </si>
  <si>
    <t>FLUSALIO</t>
  </si>
  <si>
    <t>FLUTICASONE PROPIONATO + SALMETEROLO</t>
  </si>
  <si>
    <t>"50 MICROGRAMMI/250 MICROGRAMMI/DOSE POLVERE PER INALAZIONE IN CONTENITORE MONODOSE" 60 DOSI IN BLISTER AL/AL MONODOSE</t>
  </si>
  <si>
    <t>ELPEN PHARMACEUTICAL CO. INC.</t>
  </si>
  <si>
    <t>"50 MICROGRAMMI/500 MICROGRAMMI/DOSE POLVERE PER INALAZIONE IN CONTENITORE MONODOSE" 60 DOSI IN BLISTER AL/AL MONODOSE</t>
  </si>
  <si>
    <t>FLUTICASONE GSK CONSUMER HEALTHCARE</t>
  </si>
  <si>
    <t>FLUTICASONE</t>
  </si>
  <si>
    <t>"50 MICROGRAMMI/EROGAZIONE SPRAY NASALE, SOSPENSIONE" UN FLACONE IN VETRO DA 60 EROGAZIONI</t>
  </si>
  <si>
    <t>FOCUSVEN</t>
  </si>
  <si>
    <t>BENZIDAMINA CLORIDRATO</t>
  </si>
  <si>
    <t>"5 % GEL" TUBO 50 G</t>
  </si>
  <si>
    <t>FOILLE SOLE</t>
  </si>
  <si>
    <t>BENZOCAINA/ALCOOL BENZILICO/CLOROXILENOLO</t>
  </si>
  <si>
    <t>"SPRAY CUTANEO, SOLUZIONE"1 CONTENITORE SOTTOPRESSIONE DA 70 G</t>
  </si>
  <si>
    <t>FORADIL</t>
  </si>
  <si>
    <t>" 12 MCG SOLUZIONE PRESSURIZZATA PER INALAZIONE " CONTENITORE SOTTO PRESSIONE 100 INALAZIONI</t>
  </si>
  <si>
    <t>FORMITROL GOLA</t>
  </si>
  <si>
    <t>"8,75 MG PASTIGLIE" 16 PASTIGLIE IN BLISTER PVC/PVDC/AL</t>
  </si>
  <si>
    <t>FORTACIN</t>
  </si>
  <si>
    <t>LIDOCAINA + PRILOCAINA</t>
  </si>
  <si>
    <t>150 MG/ML / 50 MG/ML - SPRAY CUTANEO, SOLUZIONE  - USO CUTANEO - FLACONE NEBULIZZATORE  (ALLUMINIO) 5,0 ML - 1  CONTENITORE  (12 DOSI)</t>
  </si>
  <si>
    <t>RECORDATI IRELAND LTD</t>
  </si>
  <si>
    <t>FOSFOMICINA SUN</t>
  </si>
  <si>
    <t>FOSFOMICINA SALE DI TROMETAMOLO</t>
  </si>
  <si>
    <t>"ADULTI 3 G GRANULATO PER SOLUZIONE ORALE " 2 BUSTINE</t>
  </si>
  <si>
    <t>FOSINOPRIL E IDROCLOROTIAZIDE AUROBINDO</t>
  </si>
  <si>
    <t>FOSINOPRIL SODICO + IDROCLOROTIAZIDE</t>
  </si>
  <si>
    <t>"20 MG/12,5 MG COMPRESSE" 14 COMPRESSE IN BLISTER AL/AL</t>
  </si>
  <si>
    <t>FOZNOL</t>
  </si>
  <si>
    <t>LANTANIO CARBONATO IDRATO</t>
  </si>
  <si>
    <t>"1000 MG COMPRESSE MASTICABILI" 90 COMPRESSE IN FLACONE HDPE</t>
  </si>
  <si>
    <t>FRIMAIND</t>
  </si>
  <si>
    <t>"40 MG COMPRESSE RIVESTITE CON FILM" 14 COMPRESSE</t>
  </si>
  <si>
    <t>FROBEFLU</t>
  </si>
  <si>
    <t>ACIDO ACETILSALICILICO/ACIDO ASCORBICO</t>
  </si>
  <si>
    <t>"330 MG + 200 MG COMPRESSE EFFERVESCENTI" 10 COMPRESSE</t>
  </si>
  <si>
    <t>FROBEN DOLORE E FEBBRE</t>
  </si>
  <si>
    <t>"200 MG GRANULATO EFFERVESCENTE" 20 BUSTINE IN CARTA/PE/AL/PE</t>
  </si>
  <si>
    <t>MYLAN IRE HEALTHCARE LIMITED</t>
  </si>
  <si>
    <t>FROBEN DOLORE E INFIAMMAZIONE</t>
  </si>
  <si>
    <t>"400 MG GRANULATO EFFERVESCENTE" 20 BUSTINE IN CARTA/PE/AL/PE</t>
  </si>
  <si>
    <t>FROBEN INFLUENZA E RAFFREDDORE</t>
  </si>
  <si>
    <t>ACIDO ASCORBICO + FENILEFRINA CLORIDRATO + PARACETAMOLO</t>
  </si>
  <si>
    <t>"POLVERE PER SOLUZIONE ORALE" 10 BUSTINE GUSTO LIMONE E MIELE DA 4 G</t>
  </si>
  <si>
    <t>FROBEN TOSSE SECCA</t>
  </si>
  <si>
    <t>BUTAMIRATO CITRATO</t>
  </si>
  <si>
    <t>"2 MG/ML GOCCE ORALI, SOLUZIONE" FLACONE 15 ML CON CONTAGOCCE</t>
  </si>
  <si>
    <t>FROVATRIPTAN MYLAN</t>
  </si>
  <si>
    <t>FROVATRIPTAN</t>
  </si>
  <si>
    <t>" 2,5 MG COMPRESSE RIVESTITE CON FILM " 6 COMPRESSE IN BLISTER AL/OPA/PVC/AL</t>
  </si>
  <si>
    <t>previsto ulteriore periodo di carenza con inizio il 15/02/2021 e fine presunta il 31/10/2021</t>
  </si>
  <si>
    <t>FROVATRIPTAN SANDOZ</t>
  </si>
  <si>
    <t>"2,5 MG COMPRESSE RIVESTITE CON FILM" 2 COMPRESSE IN BLISTER PVC/PE/PCTFE</t>
  </si>
  <si>
    <t>"2,5 MG COMPRESSE RIVESTITE CON FILM" 6 COMPRESSE IN BLISTER PVC/PE/PCTFE</t>
  </si>
  <si>
    <t>FUCITHALMIC</t>
  </si>
  <si>
    <t>ACIDO FUSIDICO</t>
  </si>
  <si>
    <t>"1% COLLIRIO, SOLUZIONE" 12 TUBI MONODOSE</t>
  </si>
  <si>
    <t>FUCSINA FENICA MARCO VITI</t>
  </si>
  <si>
    <t>ACIDO BORICO/FENOLO/FUCSINA/RESORCINA</t>
  </si>
  <si>
    <t>"SOLUZIONE CUTANEA" FLACONE 25 G</t>
  </si>
  <si>
    <t>MARCO VITI FARMACEUTICI S.P.A.</t>
  </si>
  <si>
    <t>FUCSINA FENICA ZETA</t>
  </si>
  <si>
    <t>"SOLUZIONE CUTANEA" FLACONE 30 ML</t>
  </si>
  <si>
    <t>FUREDAN</t>
  </si>
  <si>
    <t>NITROFURANTOINA</t>
  </si>
  <si>
    <t>"50 MG COMPRESSE" 15 COMPRESSE</t>
  </si>
  <si>
    <t>ANTRIVEX S.R.L.</t>
  </si>
  <si>
    <t>FUROSEMIDE HEXAL</t>
  </si>
  <si>
    <t>FUROSEMIDE</t>
  </si>
  <si>
    <t>"500 MG COMPRESSE" 20 COMPRESSE</t>
  </si>
  <si>
    <t>FUROSEMIDE ITALFARMACO</t>
  </si>
  <si>
    <t>"20 MG/2 ML SOLUZIONE INIETTABILE"5 FIALE 2 ML</t>
  </si>
  <si>
    <t>FUROSEMIDE TEVA</t>
  </si>
  <si>
    <t>"500 MG COMPRESSE " 20 COMPRESSE IN BLISTER PVC/PVDC/AL</t>
  </si>
  <si>
    <t>GABAPENTIN AUROBINDO</t>
  </si>
  <si>
    <t>GABAPENTINA</t>
  </si>
  <si>
    <t>" 100 MG CAPSULE RIGIDE " 50 CAPSULE IN BLISTER PA/AL/PVC/AL</t>
  </si>
  <si>
    <t>" 400 MG CAPSULE RIGIDE " 30 CAPSULE IN BLISTER PA/AL/PVC/AL</t>
  </si>
  <si>
    <t>GABAPENTIN PFIZER</t>
  </si>
  <si>
    <t>"300 MG CAPSULE RIGIDE" 50 CAPSULE IN BLISTER PVC/PVDC/AL</t>
  </si>
  <si>
    <t>"400 MG CAPSULE RIGIDE" 30 CAPSULE IN BLISTER PVC/PVDC/AL</t>
  </si>
  <si>
    <t>GABAPENTIN SUN</t>
  </si>
  <si>
    <t>"100 MG CAPSULE RIGIDE" 50 CAPSULE IN FLACONE HDPE</t>
  </si>
  <si>
    <t>GABESATO MESILATO IBI</t>
  </si>
  <si>
    <t>GABEXATO MESILATO</t>
  </si>
  <si>
    <t>" 100 MG/ 5 ML POLVERE E SOLVENTE PER SOLUZIONE PER INFUSIONE " 1 FLACONCINO POLVERE + 1 FIALA SOLVENTE DA 5 ML</t>
  </si>
  <si>
    <t>GADOVIST</t>
  </si>
  <si>
    <t>GADOBUTROLO</t>
  </si>
  <si>
    <t>"1.0 MMOL/ML SOLUZIONE INIETTABILE" 1 CARTUCCIA DA 30 ML</t>
  </si>
  <si>
    <t>GAMTEN</t>
  </si>
  <si>
    <t>"100MG/ML SOLUZIONE PER INFUSIONE" 1 FLACONE IN VETRO  DA 50 ML</t>
  </si>
  <si>
    <t>OCTAPHARMA ITALY S.P.A.</t>
  </si>
  <si>
    <t>"100MG/ML SOLUZIONE PER INFUSIONE" 1 FLACONE IN VETRO  DA 100 ML</t>
  </si>
  <si>
    <t>GANAZOLO</t>
  </si>
  <si>
    <t>"1 MG/ML SOLUZIONE VAGINALE" 5 FLACONI DA 150 ML + 5 CANNULE</t>
  </si>
  <si>
    <t>ISTITUTO GANASSINI S.P.A. DI RICERCHE BIOCHIMICHE</t>
  </si>
  <si>
    <t>GARDASIL</t>
  </si>
  <si>
    <t>VACCINO PAPILLOMAVIRUS UMANO (TIPI UMANI 6,11,16,18)</t>
  </si>
  <si>
    <t>"0,5 ML SOSPENSIONE INIETTABILE USO INTRAMUSCOLARE" 1 SIRINGA   PRERIEMPITA (VETRO)+ 2 AGHI</t>
  </si>
  <si>
    <t>MSD VACCINS</t>
  </si>
  <si>
    <t>GASTROGEL</t>
  </si>
  <si>
    <t>SUCRALFATO</t>
  </si>
  <si>
    <t>"2G/10ML GEL ORALE" 30 BUSTINE 10 ML</t>
  </si>
  <si>
    <t>GIULIANI SPA</t>
  </si>
  <si>
    <t>GAVISCON</t>
  </si>
  <si>
    <t>SODIO ALGINATO + SODIO BICARBONATO</t>
  </si>
  <si>
    <t>"500 MG/10 ML + 267 MG/10 ML SOSPENSIONE ORALE AROMA MENTA" FLACONE DA 200 ML</t>
  </si>
  <si>
    <t>RECKITT BENCKISER HEALTHCARE (ITALIA) S.P.A.</t>
  </si>
  <si>
    <t>GEFITINIB TEVA</t>
  </si>
  <si>
    <t>GEFITINIB</t>
  </si>
  <si>
    <t>"250 MG COMPRESSE RIVESTITE CON FILM" 30 COMPRESSE IN BLISTER OPA/AL/PVC/AL DIVISIBILE PER DOSE UNITARIA</t>
  </si>
  <si>
    <t>GEMBIN</t>
  </si>
  <si>
    <t>GEMCITABINA CLORIDRATO</t>
  </si>
  <si>
    <t>"40 MG/ML CONCENTRATO PER SOLUZIONE PER INFUSIONE" 1 FLACONCINO IN VETRO DA 5 ML</t>
  </si>
  <si>
    <t>"40 MG/ML CONCENTRATO PER SOLUZIONE PER INFUSIONE" 1 FLACONCINO IN VETRO DA 25 ML</t>
  </si>
  <si>
    <t>"40 MG/ML CONCENTRATO PER SOLUZIONE PER INFUSIONE" 1 FLACONCINO IN VETRO DA 50 ML</t>
  </si>
  <si>
    <t>GEMCITABINA ACCORD</t>
  </si>
  <si>
    <t>GEMCITABINA</t>
  </si>
  <si>
    <t>"100 MG/ML CONCENTRATO PER SOLUZIONE PER INFUSIONE" 1 FLACONCINO IN VETRO DA 2 ML</t>
  </si>
  <si>
    <t>"100 MG/ML CONCENTRATO PER SOLUZIONE PER INFUSIONE" 1 FLACONCINO IN VETRO DA 15 ML</t>
  </si>
  <si>
    <t>"100 MG/ML CONCENTRATO PER SOLUZIONE PER INFUSIONE" 1 FLACONCINO IN VETRO DA 20 ML</t>
  </si>
  <si>
    <t>GEMCITABINA AUROBINDO</t>
  </si>
  <si>
    <t>" 38 MG/ML POLVERE PER SOLUZIONE PER INFUSIONE" 1 FLACONCINO IN VETRO DA 200 MG</t>
  </si>
  <si>
    <t>" 38 MG/ML POLVERE PER SOLUZIONE PER INFUSIONE" 1 FLACONCINO IN  VETRO DA 1 G</t>
  </si>
  <si>
    <t>"38 MG/ML POLVERE PER SOLUZIONE PER INFUSIONE" 1 FLACONCINO IN VETRO DA 2 G</t>
  </si>
  <si>
    <t>GEMCITABINA PFIZER</t>
  </si>
  <si>
    <t>"38 MG/ML CONCENTRATO PER SOLUZIONE PER INFUSIONE" 1 FLACONCINO IN VETRO DA 200 MG/5,3 ML</t>
  </si>
  <si>
    <t>"38 MG/ML CONCENTRATO PER SOLUZIONE PER INFUSIONE" 1 FLACONCINO IN VETRO DA 1 G/26,3 ML</t>
  </si>
  <si>
    <t>"38 MG/ML CONCENTRATO PER SOLUZIONE PER INFUSIONE" 1 FLACONCINO IN VETRO DA 2 G/52,6 ML</t>
  </si>
  <si>
    <t>GEMCITABINA SUN</t>
  </si>
  <si>
    <t>"200 MG POLVERE PER SOLUZIONE PER INFUSIONE" 1 FLACONCINO DI VETRO DA 10 ML</t>
  </si>
  <si>
    <t>GENKINASE</t>
  </si>
  <si>
    <t>UROCHINASI</t>
  </si>
  <si>
    <t>"100.000 U.I./2 ML POLVERE E SOLVENTE PER SOLUZIONE INIETTABILE" 1 FLACONE POLVERE + 1 FIALA SOLVENTE DA 2 ML</t>
  </si>
  <si>
    <t>"500.000 U.I./5 ML POLVERE E SOLVENTE PER SOLUZIONE INIETTABILE" 1 FLACONE POLVERE + 1 FIALA SOLVENTE DA 5 ML</t>
  </si>
  <si>
    <t>"1.000.000 U.I./5 ML POLVERE E SOLVENTE PER SOLUZIONE INIETTABILE" FLACONE + FIALA DA 5 ML</t>
  </si>
  <si>
    <t>GENLIP</t>
  </si>
  <si>
    <t>GEMFIBROZIL</t>
  </si>
  <si>
    <t>"600 MG COMPRESSE" 30 COMPRESSE</t>
  </si>
  <si>
    <t>GENOTROPIN</t>
  </si>
  <si>
    <t>SOMATROPINA</t>
  </si>
  <si>
    <t>"5,3 MG POLVERE E SOLVENTE PER SOLUZIONE INIETTABILE" 1 CARTUCCIA DA 16 IU (5,3 MG)</t>
  </si>
  <si>
    <t>"12 MG POLVERE E SOLVENTE PER SOLUZIONE INIETTABILE" 1 CARTUCCIA  DA 36 UI (12 MG)</t>
  </si>
  <si>
    <t>GESTODIOL</t>
  </si>
  <si>
    <t>ETINILESTRADIOLO/GESTODENE</t>
  </si>
  <si>
    <t>"20 MCG/75 MCG COMPRESSE RIVESTITE" 3X21 COMPRESSE IN BLISTER PVC/AL</t>
  </si>
  <si>
    <t>GINAIKOS</t>
  </si>
  <si>
    <t>"1,5 MG GEL" 28 BUSTINE 2,5 G</t>
  </si>
  <si>
    <t>GINETANTUM</t>
  </si>
  <si>
    <t>"500 MG/10 ML CONCENTRATO PER SOLUZIONE CUTANEA PER GENITALI ESTERNI" 10 FLACONCINI DA 10 ML</t>
  </si>
  <si>
    <t>GLAZIDIM</t>
  </si>
  <si>
    <t>"2 G POLVERE PER SOLUZIONE PER INFUSIONE" 1 FLACONE 2 G CON DISPOSITIVO MONOVIAL</t>
  </si>
  <si>
    <t>"2 G/100 ML POLVERE E SOLVENTE PER SOLUZIONE PER INFUSIONE" 1 FLACONE 2 G, CON DISPOSITIVO "MONOVIAL" + SACCA INFUSIONALE DA 100 ML</t>
  </si>
  <si>
    <t>"2 G POLVERE PER SOLUZIONE PER INFUSIONE" 1 FLACONCINO DI POLVERE</t>
  </si>
  <si>
    <t>"1 G POLVERE PER SOLUZIONE PER INFUSIONE" 1 FLACONE 1 G CON DISPOSITIVO MONOVIAL</t>
  </si>
  <si>
    <t>"1 G POLVERE PER SOLUZIONE INIETTABILE" 10 FLACONCINI</t>
  </si>
  <si>
    <t>"1 G/3 ML POLVERE E SOLVENTE PER SOLUZIONE INIETTABILE PER USO INTRAMUSCOLARE" 1 FLACONCINO POLVERE + FIALA SOLVENTE DA 3 ML</t>
  </si>
  <si>
    <t>"1 G/100 ML POLVERE E SOLVENTE PER SOLUZIONE PER INFUSIONE" 1 FLACONE POLVERE, CON DISPOSITIVO "MONOVIAL" + SACCA INFUSIONALE DA 100 ML</t>
  </si>
  <si>
    <t>"1G/10ML POLVERE+ SOLVENTE PER SOLUZIONE INIETTABILE PER USO ENDOVENOSO" 1 FLACONE POLVERE 1 G+FIALA SOLVENTE 10 ML</t>
  </si>
  <si>
    <t>GLICERINA S.PELLEGRINO</t>
  </si>
  <si>
    <t>" ADULTI 2,250 G SUPPOSTE " 18 SUPPOSTE</t>
  </si>
  <si>
    <t>GLICERO VALEROVIT</t>
  </si>
  <si>
    <t>SODIO GLICEROFOSFATO/VALERIANA</t>
  </si>
  <si>
    <t>"20 MG/2 ML + 100 MG/2 ML SOLUZIONE INIETTABILE PER USO INTRAMUSCOLARE"10 FIALE  2 ML</t>
  </si>
  <si>
    <t>"10 MG/1 ML + 20 MG/1 ML SCIROPPO"1 FLACONE 150 ML</t>
  </si>
  <si>
    <t>GLICEROLO CON SODIO CLORURO FKI</t>
  </si>
  <si>
    <t>GLICEROLO/SODIO CLORURO</t>
  </si>
  <si>
    <t>"10% + 0,9% SOLUZIONE PER INFUSIONE" 1 FLACONCINO VETRO 500 ML</t>
  </si>
  <si>
    <t>"10% + 0,9% SOLUZIONE PER INFUSIONE" 1 FLACONCINO VETRO 250 ML</t>
  </si>
  <si>
    <t>GLICEROLO SOFAR</t>
  </si>
  <si>
    <t>"BAMBINI 2,25 G SOLUZIONE RETTALE" 6 CONTENITORI MONODOSE</t>
  </si>
  <si>
    <t>"ADULTI 6,75 G SOLUZIONE RETTALE" 6 CONTENITORI MONODOSE</t>
  </si>
  <si>
    <t>GLICLAZIDE ALMUS</t>
  </si>
  <si>
    <t>GLICLAZIDE</t>
  </si>
  <si>
    <t>"80 MG COMPRESSE" 40 COMPRESSE DIVISIBILI</t>
  </si>
  <si>
    <t>GLICLAZIDE MYLAN GENERICS</t>
  </si>
  <si>
    <t>80 MG COMPRESSE" 40 COMPRESSE DIVISIBILI</t>
  </si>
  <si>
    <t>GLICLAZIDE SUN</t>
  </si>
  <si>
    <t>" 60 MG COMPRESSE A RILASCIO MODIFICATO" 30 COMPRESSE IN BLISTER PVC/PE/PVDC/AL</t>
  </si>
  <si>
    <t>GLICLAZIDE TEVA</t>
  </si>
  <si>
    <t>"60 MG COMPRESSE A RILASCIO MODIFICATO" 30 COMPRESSE IN BLISTER PVC/AL</t>
  </si>
  <si>
    <t>GLICLAZIDE ZENTIVA LAB</t>
  </si>
  <si>
    <t>"30 MG COMPRESSE A RILASCIO MODIFICATO" 60 COMPRESSE IN BLISTER PVC/PVDC/AL</t>
  </si>
  <si>
    <t>GLICOPIRRONIO BROMURO ACCORD</t>
  </si>
  <si>
    <t>GLICOPIRRONIO BROMURO</t>
  </si>
  <si>
    <t>"200 MICROGRAMMI/ML SOLUZIONE INIETTABILE" 10 FIALE IN VETRO DA 3ML</t>
  </si>
  <si>
    <t>"200 MICROGRAMMI/ML SOLUZIONE INIETTABILE" 10 FIALE IN VETRO DA 1ML</t>
  </si>
  <si>
    <t>GLIMEPIRIDE AUROBINDO ITALIA</t>
  </si>
  <si>
    <t>GLIMEPIRIDE</t>
  </si>
  <si>
    <t>"2 MG COMPRESSE" 30 COMPRESSE IN BLISTER PVC/AL</t>
  </si>
  <si>
    <t>"3 MG COMPRESSE" 30 COMPRESSE IN BLISTER PVC/AL</t>
  </si>
  <si>
    <t>"4 MG COMPRESSE" 30 COMPRESSE IN BLISTER PVC/AL</t>
  </si>
  <si>
    <t>GLIMEPIRIDE MYLAN GENERICS</t>
  </si>
  <si>
    <t>"2 MG COMPRESSE" 30 COMPRESSE IN BLISTER PVC/PVDC/AL</t>
  </si>
  <si>
    <t>GLUBRAVA (PIOGLITAZONE/METFORMIN HYDROCHLORIDE TAKEDA)</t>
  </si>
  <si>
    <t>METFORMINA + PIOGLITAZONE</t>
  </si>
  <si>
    <t>"15 MG/850 MG COMPRESSA - USO ORALE" BLISTER (ALL/ALL) 56 COMPRESSE</t>
  </si>
  <si>
    <t>GLUCOBAY</t>
  </si>
  <si>
    <t>ACARBOSIO</t>
  </si>
  <si>
    <t>"100 MG COMPRESSE" 40 COMPRESSE</t>
  </si>
  <si>
    <t>"50 MG COMPRESSE" 40 COMPRESSE</t>
  </si>
  <si>
    <t>GLUCOSIO BAUSCH &amp; LOMB-IOM</t>
  </si>
  <si>
    <t>GLUCOSIO (DESTROSIO) MONOIDRATO</t>
  </si>
  <si>
    <t>"35% GEL OFTALMICO" 1 TUBO DA 5 G</t>
  </si>
  <si>
    <t>BAUSCH &amp; LOMB-IOM S.P.A.</t>
  </si>
  <si>
    <t>GLUCOSIO EUROSPITAL</t>
  </si>
  <si>
    <t>5% FLACONE 1000 ML</t>
  </si>
  <si>
    <t>EUROSPITAL S.P.A.</t>
  </si>
  <si>
    <t>20% FLACONE 500 ML</t>
  </si>
  <si>
    <t>GLUCOSIO FKI</t>
  </si>
  <si>
    <t>"10% SOLUZIONE PER INFUSIONE" 24 FLACONCINI 250 ML</t>
  </si>
  <si>
    <t>"10% SOLUZIONE PER INFUSIONE" 20 FLACONCINI 500 ML</t>
  </si>
  <si>
    <t>GLUCOSIO LIOFILCHEM</t>
  </si>
  <si>
    <t>"500 MG/ML SCIROPPO" 1 FLACONE IN VETRO DA 150 ML</t>
  </si>
  <si>
    <t>LIOFILCHEM S.R.L.</t>
  </si>
  <si>
    <t>GLUSTIN</t>
  </si>
  <si>
    <t>PIOGLITAZONE CLORIDRATO</t>
  </si>
  <si>
    <t>"15 MG COMPRESSE" 28 COMPRESSE USO ORALE</t>
  </si>
  <si>
    <t>"30 MG COMPRESSE" 28 COMPRESSE USO ORALE</t>
  </si>
  <si>
    <t>GLUTATIONE GERMED</t>
  </si>
  <si>
    <t>GLUTATIONE SODICO</t>
  </si>
  <si>
    <t>"600 MG/4 ML POLVERE E SOLVENTE PER SOLUZIONE INIETTABILE" 10 FLACONCINI POLVERE + 10 FIALE SOLVENTE 4 ML</t>
  </si>
  <si>
    <t>GOLA ACTION</t>
  </si>
  <si>
    <t>BENZIDAMINA CLORIDRATO/CETILPIRIDINIO CLORURO</t>
  </si>
  <si>
    <t>"3MG+1MG COMPRESSE OROSOLUBILI SENZA ZUCCHERO" 20 COMPRESSE</t>
  </si>
  <si>
    <t>IODOSAN S.P.A.</t>
  </si>
  <si>
    <t>"150 MG/100 ML + 50 MG/100 ML  COLLUTORIO" 1 FLACONE DA 150 ML</t>
  </si>
  <si>
    <t>GOLADIN</t>
  </si>
  <si>
    <t>DEQUALINIO CLORURO</t>
  </si>
  <si>
    <t>"0,25 MG PASTIGLIE" 24 PASTIGLIE</t>
  </si>
  <si>
    <t>GOLAFAIR</t>
  </si>
  <si>
    <t>"1,5 MG PASTIGLIE" 20 PASTIGLIE</t>
  </si>
  <si>
    <t>"1,5 MG PASTIGLIE GUSTO MIELE-LIMONE"20 PASTIGLIE</t>
  </si>
  <si>
    <t>"1,5 MG PASTIGLIE SENZA ZUCCHERO" 20 PASTIGLIE</t>
  </si>
  <si>
    <t>"1,5 MG PASTIGLIE GUSTO MENTA"20 PASTIGLIE</t>
  </si>
  <si>
    <t>"1,5  MG PASTIGLIE GUSTO ARANCIA-LIMONE" 20 PASTIGLIE</t>
  </si>
  <si>
    <t>GOLASEPT TOSSE GRASSA</t>
  </si>
  <si>
    <t>"7,5 MG/ML SOLUZIONE DA NEBULIZZARE" 10 FIALE DA 2 ML</t>
  </si>
  <si>
    <t>GRANOCYTE</t>
  </si>
  <si>
    <t>LENOGRASTIM</t>
  </si>
  <si>
    <t>"34 MILIONI UI/ML POLVERE E SOLVENTE PR SOLUZIONE INIETTABILE/ PER INFUSIONE IN SIRINGA PRERIEMPITA" 1 FLACONCINO POLVERE + 1 SIRINGA SOLVENTE+2 AGHI</t>
  </si>
  <si>
    <t>GRANPIDAM</t>
  </si>
  <si>
    <t>SILDENAFIL</t>
  </si>
  <si>
    <t>20 MG - COMPRESSA RIVESTITA CON FILM - USO ORALE - BLISTER (PVC/ALL) - 90 COMPRESSE</t>
  </si>
  <si>
    <t>HAEMOBIONINE</t>
  </si>
  <si>
    <t>"100 U./ML POLVERE E SOLVENTE PER SOLUZIONE INIETTABILE" 1FLAC.NO500 POLVERE+1FLAC.NO5MLSOLVENTE+SIRINGAMONOUSO+SIS.DI TRASF.DOPPIOFILTRO+AGOFARFALL</t>
  </si>
  <si>
    <t>BIOTEST PHARMA GMBH</t>
  </si>
  <si>
    <t>"100 U.I/ML POLVERE E SOLVENTE PER SOLUZIONE INIETTABILE" 1FLAC.NO1000POLVERE+1FLAC.NO10MLSOLVENTE+SIRINGAMONOUSO+SIS.DITRASF.DOPPIOFILTRO+AGOFARFALL</t>
  </si>
  <si>
    <t>HAVRIX</t>
  </si>
  <si>
    <t>"ADULTI SOSPENSIONE INIETTABILE PER USO INTRAMUSCOLARE" 1 SIRINGA PRERIEMPITA DA 1,0 ML (1 DOSE) CON AGO SEPARATO</t>
  </si>
  <si>
    <t>HBVAXPRO</t>
  </si>
  <si>
    <t>VACCINO EPATITE B DA DNA RICOMBINANTE</t>
  </si>
  <si>
    <t>5 MCG/0,5 ML SOSPENSIONE INIETTABILE 1 FLACONCINO (VETRO) 0,5 ML USO INTRAMUSCOLARE</t>
  </si>
  <si>
    <t>10 MCG/ML SOSPENSIONE INIETTABILE 1 FLACONCINO (VETRO) 1 ML USO INTRAMUSCOLARE</t>
  </si>
  <si>
    <t>40 MCG/ML SOSPENSIONE INIETTABILE 1 FLACONCINO (VETRO) 1 ML USO INTRAMUSCOLARE</t>
  </si>
  <si>
    <t>10 MCG/1 ML 1 SIRINGA PRERIEMPITA CON 2 AGHI SEPARATI</t>
  </si>
  <si>
    <t>HIBERIX</t>
  </si>
  <si>
    <t>VACCINO HAEMOPHILUS INFLUENZAE B CONIUGATO CON TOSSOIDETETANICO</t>
  </si>
  <si>
    <t>"POLVERE E SOLVENTE PER SOLUZIONE INIETTABILE PER USO INTRAMUSCOLARE" FLACONCINO POLVERE(1 DOSE)+SIRINGA PRERIEMPITA SOLVENTE 0,5 ML CON AGO SEPARATO</t>
  </si>
  <si>
    <t>CARENZA RELATIVA SOLO AL CANALE OSPEDALIERO</t>
  </si>
  <si>
    <t>HIZENTRA</t>
  </si>
  <si>
    <t>IMMUNOGLOBULINA A UMANA</t>
  </si>
  <si>
    <t>"200 MG/ML - SOLUZIONE INIETTABILE - USO SOTTOCUTANEO - FLACONCINO (VETRO) - 5 ML" 1 FLACONCINO</t>
  </si>
  <si>
    <t>"200 MG/ML - SOLUZIONE INIETTABILE - USO SOTTOCUTANEO - FLACONCINO (VETRO) -  10 ML" 1 FLACONCIN0</t>
  </si>
  <si>
    <t>"200 MG/ML - SOLUZIONE INIETTABILE - USO SOTTOCUTANEO - FLACONCINO (VETRO) -  20 ML"  1 FLACONCIN0</t>
  </si>
  <si>
    <t>200 MG/ML - SOLUZIONE INIETTABILE - USO SOTTOCUTANEO - FLACONCINO (VETRO) 50 ML - 1 FLACONCINO</t>
  </si>
  <si>
    <t>HUMALOG</t>
  </si>
  <si>
    <t>INSULINA LISPRO DA DNA RICOMBINANTE</t>
  </si>
  <si>
    <t>" BASAL 100  U/ML SOSPENSIONE INIETTABILE - USO SOTTOCUTANEO - CARTUCCIA (VETRO) 3 ML (3,5 MG/ML) 5 CARTUCCE</t>
  </si>
  <si>
    <t>NPL 100 U/ML SOSPENSIONE INIETTABILE 5 CARTUCCE 3 ML USO SC</t>
  </si>
  <si>
    <t>HUMIRA</t>
  </si>
  <si>
    <t>ADALIMUMAB</t>
  </si>
  <si>
    <t>"40MG/0.8ML SOLUZ. INIETTABILE- USO SOTTOCUTANEO-FLACONCINO(VETRO) 0,8ML" 2 ASTUCCI:1 FLACONCINO+1SIRINGA+1AGO+1ADATT.STERILE-2TAMPONI IMBEVUTI ALCOOL</t>
  </si>
  <si>
    <t>40 MG - SOLUZIONE INIETTABILE IN SIRINGHE PRE-RIEMPITE - USO SOTTOCUTANEO - SIRINGA PRERIEMPITA (0,4ML) - 4 SIRINGHE PRE-RIEMPITE + 4 TAMPONI IMBEVUTI DI ALCOOL</t>
  </si>
  <si>
    <t>40 MG - SOLUZIONE INIETTABILE - USO SOTTOCUTANEO -  PENNA PRERIEMPITA(VETRO) 0,4 ML (40MG/0,4ML) - 4 PENNE PRERIEMPITE + 4 TAMPONI IMBEVUTI DI ALCOL IN UN BLISTER</t>
  </si>
  <si>
    <t>HUMULIN</t>
  </si>
  <si>
    <t>INSULINA UMANA DA DNA RICOMBINANTE/INSULINA UMANA ISOFANO DA DNA RICOMBINANTE</t>
  </si>
  <si>
    <t>"30/70 100 UI/ML SOSPENSIONE INIETTABILE" 5 CARTUCCE DA 3 ML</t>
  </si>
  <si>
    <t>ELI LILLY ITALIA S.P.A.</t>
  </si>
  <si>
    <t>INSULINA UMANA ISOFANO DA DNA RICOMBINANTE</t>
  </si>
  <si>
    <t>"I 100 UI/ML SOSPENSIONE INIETTABILE IN CARTUCCIA" 5 CARTUCCE DA 3 ML</t>
  </si>
  <si>
    <t>HY-DROP</t>
  </si>
  <si>
    <t>"2 MG/ML COLLIRIO, SOLUZIONE" 20 CONTENITORI MONODOSE 0,25 ML</t>
  </si>
  <si>
    <t>HYALISTIL</t>
  </si>
  <si>
    <t>"0,2%  COLLIRIO, SOLUZIONE " 1 FLACONE DA 10 ML</t>
  </si>
  <si>
    <t>SIFI S.P.A.</t>
  </si>
  <si>
    <t>IALUREX IPOTONICO</t>
  </si>
  <si>
    <t>"4 MG/ML COLLIRIO, SOLUZIONE" 30 CONTENITORI MONODOSE 0,2 ML</t>
  </si>
  <si>
    <t>IBIFEN</t>
  </si>
  <si>
    <t>"100 MG CAPSULE RIGIDE" 30 CAPSULE</t>
  </si>
  <si>
    <t>"50 MG/ML GEL" 1 TUBO 50 G</t>
  </si>
  <si>
    <t>"50 MG CAPSULE RIGIDE" 30 CAPSULE</t>
  </si>
  <si>
    <t>"200 MG COMPRESSE A RILASCIO PROLUNGATO " 30 COMPRESSE</t>
  </si>
  <si>
    <t>30 BUSTINE GRANULATO EFFERV 50 MG</t>
  </si>
  <si>
    <t>"25 MG/ML GOCCE ORALI, SOLUZIONE" FLACONE DA 20 ML</t>
  </si>
  <si>
    <t>IBITAZINA</t>
  </si>
  <si>
    <t>PIPERACILLINA SODICA/TAZOBACTAM SODICO</t>
  </si>
  <si>
    <t>" 2 G + 250 MG /4 ML POLVERE E SOLVENTE PER SOLUZIONE INIETTABILE PER USO INTRAMUSCOLARE " FLACONCINO POLVERE + FIALA SOLVENTE DA 4 ML</t>
  </si>
  <si>
    <t>IBIXACIN</t>
  </si>
  <si>
    <t>" 750 MG COMPRESSE RIVESTITE CON FILM " 12 COMPRESSE</t>
  </si>
  <si>
    <t>IBUPROFENE MYLAN ITALIA</t>
  </si>
  <si>
    <t>"400 MG COMPRESSE RIVESTITE" 10 COMPRESSE IN BLISTER</t>
  </si>
  <si>
    <t>IBUPROFENE SANDOZ</t>
  </si>
  <si>
    <t>"200 MG COMPRESSE RIVESTITE CON FILM" BLISTER DA 12 COMPRESSE</t>
  </si>
  <si>
    <t>IBUPROFENE ZENTIVA ITALIA</t>
  </si>
  <si>
    <t>"200 MG COMPRESSE RIVESTITE CON FILM" 12 COMPRESSE IN BLISTER PVC/AL</t>
  </si>
  <si>
    <t>"200 MG COMPRESSE RIVESTITE CON FILM" 24 COMPRESSE IN BLISTER PVC/AL</t>
  </si>
  <si>
    <t>"400 MG COMPRESSE RIVESTITE CON FILM" 12 COMPRESSE IN BLISTER PVC/AL</t>
  </si>
  <si>
    <t>ICLUSIG</t>
  </si>
  <si>
    <t>PONATINIB</t>
  </si>
  <si>
    <t>"15 MG - COMPRESSA RIVESTITA CON FILM - USO ORALE - FLACONE" 60 COMPRESSE</t>
  </si>
  <si>
    <t>INCYTE BIOSCIENCES DISTRIBUTION B.V.</t>
  </si>
  <si>
    <t>IDARUBICINA SANDOZ</t>
  </si>
  <si>
    <t>IDARUBICINA CLORIDRATO</t>
  </si>
  <si>
    <t>" 1MG/ML CONCENTRATO PER SOLUZIONE PER INFUSIONE"  1 FLACONCINO DA 5 ML</t>
  </si>
  <si>
    <t>IFENEC</t>
  </si>
  <si>
    <t>"1% SOLUZIONE CUTANEA PER GENITALI ESTERNI" 1 FLACONE DA 60 ML</t>
  </si>
  <si>
    <t>"1% SOLUZIONE CUTANEA" 6 BUSTINE 10 G</t>
  </si>
  <si>
    <t>IG VENA</t>
  </si>
  <si>
    <t>"50 G/L SOLUZIONE PER INFUSIONE" FLACONCINO DA 20 ML</t>
  </si>
  <si>
    <t>"50 G/L SOLUZIONE  PER  INFUSIONE" 1 FLACONCINO DA 50 ML + APPENDINO ESTENDIBILE</t>
  </si>
  <si>
    <t>"50 G/L  SOLUZIONE  PER  INFUSIONE" 1 FLACONCINO DA 100 ML + APPENDINO ESTENDIBILE</t>
  </si>
  <si>
    <t>"50 G/L  SOLUZIONE  PER  INFUSIONE" 1 FLACONCINO DA 200 ML + APPENDINO ESTENDIBILE</t>
  </si>
  <si>
    <t>ILARIS</t>
  </si>
  <si>
    <t>CANAKINUMAB</t>
  </si>
  <si>
    <t>"150 MG - POLVERE PER SOLUZIONE INIETTABILE - USO SOTTOCUTANEO - FLACONCINO (VETRO)" 1 FLACONCINO</t>
  </si>
  <si>
    <t>ILOMEDIN</t>
  </si>
  <si>
    <t>ILOPROST SALE DI TROMETAMOLO</t>
  </si>
  <si>
    <t>"0,05 MG/0,5 ML CONCENTRATO PER SOLUZIONE PER INFUSIONE" 1 FIALA DA 0,5 ML</t>
  </si>
  <si>
    <t>IMATINIB ACCORD</t>
  </si>
  <si>
    <t>IMATINIB MESILATO</t>
  </si>
  <si>
    <t>100 MG - COMPRESSA RIVESTITA CON FILM - USO ORALE - BLISTER (PVC/PVDC/ALLUMINIO) - 120X1 COMPRESSE (DOSE UNITARIA)</t>
  </si>
  <si>
    <t>IMATINIB AUROBINDO</t>
  </si>
  <si>
    <t>IMATINIB</t>
  </si>
  <si>
    <t>"100 MG CAPSULE RIGIDE" 120 CAPSULE IN BLISTER PVC/PE/PVDC/AL</t>
  </si>
  <si>
    <t>IMATINIB EG</t>
  </si>
  <si>
    <t>" 100 MG CAPSULE RIGIDE " 120 CAPSULE RIGIDE IN BLISTER  AL/PVC/ACLAR</t>
  </si>
  <si>
    <t>IMATINIB FRESENIUS KABI</t>
  </si>
  <si>
    <t>"100 MG COMPRESSE RIVESTITE CON FILM" 60 COMPRESSE IN BLISTER PVC/PE/PVDC/AL</t>
  </si>
  <si>
    <t>FRESENIUS KABI DEUTSCHLAND GMBH</t>
  </si>
  <si>
    <t>IMATINIB MYLAN</t>
  </si>
  <si>
    <t>"100 MG COMPRESSE RIVESTITE CON FILM" 120 COMPRESSE IN BLISTER PVC/PE/PVDC/AL</t>
  </si>
  <si>
    <t>IMATINIB MYLAN PHARMA</t>
  </si>
  <si>
    <t>"100 MG CAPSULE" 120 CAPSULE IN BLISTER PVC/PE/PVDC/AL</t>
  </si>
  <si>
    <t>IMATINIB REDDY</t>
  </si>
  <si>
    <t>"100 MG COMPRESSE RIVESTITE CON FILM" 120 COMPRESSE IN BLISTER AL/AL</t>
  </si>
  <si>
    <t>"400 MG COMPRESSE RIVESTITE CON FILM" 30 COMPRESSE IN BLISTER AL/AL</t>
  </si>
  <si>
    <t>IMIPENEM  E  CILASTATINA AUROBINDO</t>
  </si>
  <si>
    <t>CILASTATINA + IMIPENEM</t>
  </si>
  <si>
    <t>"500 MG/500 MG POLVERE PER SOLUZIONE PER INFUSIONE" 1 FLACONCINO IN VETRO</t>
  </si>
  <si>
    <t>IMMUCYTAL</t>
  </si>
  <si>
    <t>RIBOSOMAL/KLEBSPROTINA</t>
  </si>
  <si>
    <t>PIERRE FABRE PHARMA S.R.L.</t>
  </si>
  <si>
    <t>"GRANULATO PER SOLUZIONE ORALE"12 BUSTINE</t>
  </si>
  <si>
    <t>IMPROMEN</t>
  </si>
  <si>
    <t>BROMPERIDOLO</t>
  </si>
  <si>
    <t>"10 MG/ML GOCCE ORALI, SOLUZIONE" FLACONE DA 30 ML</t>
  </si>
  <si>
    <t>GRUNENTHAL ITALIA S.R.L.</t>
  </si>
  <si>
    <t>INALAR RAFFREDDORE</t>
  </si>
  <si>
    <t>XILOMETAZOLINA CLORIDRATO/DOMIFENE BROMURO</t>
  </si>
  <si>
    <t>"0,1G+0,025G/100ML  SPRAY NASALE,SOLUZIONE" FLACONE NEBULIZZATORE DA 15ML</t>
  </si>
  <si>
    <t>FARMAKOPEA S.P.A.</t>
  </si>
  <si>
    <t>INDAPAMIDE MYLAN GENERICS ITALIA</t>
  </si>
  <si>
    <t>INDAPAMIDE</t>
  </si>
  <si>
    <t>"1,5 MG COMPRESSE RIVESTITE CON FILM RILASCIO PROLUNGATO" 30 COMPRESSE IN BLISTER PVC/AL</t>
  </si>
  <si>
    <t>INDERAL</t>
  </si>
  <si>
    <t>PROPRANOLOLO CLORIDRATO</t>
  </si>
  <si>
    <t>"40 MG COMPRESSE" 30 COMPRESSE</t>
  </si>
  <si>
    <t>INDOBUFENE MYLAN GENERICS</t>
  </si>
  <si>
    <t>INDOBUFENE</t>
  </si>
  <si>
    <t>"200 MG COMPRESSE" 30 COMPRESSE DIVISIBILI</t>
  </si>
  <si>
    <t>INFANRIX</t>
  </si>
  <si>
    <t>VACCINO DIFTERICO/PERTOSSICO ACELLULARE/TETANICO</t>
  </si>
  <si>
    <t>"BAMBINI SOSPENSIONE INIETTABILE PER USO INTRAMUSCOLARE" 10 SIRINGHE PRERIEMPITE DA 0,5 ML (1 DOSE) CON 20 AGHI SEPARATI</t>
  </si>
  <si>
    <t>"BAMBINI SOSPENSIONE INIETTABILE PER USO INTRAMUSCOLARE" 1 SIRINGA PRERIEMPITA DA 0,5 ML (1 DOSE) CON 2 AGHI SEPARATI</t>
  </si>
  <si>
    <t>INFANRIX HEXA</t>
  </si>
  <si>
    <t>VACCINO DIFTERICO/EPATITICO B RICOMBINANTE/HAEMOFILUS INFLUENZAE B CONIUGATO E ADIUVATO/PERTOSSICO ACELLULARE/POLIOMELITICO INATTIVATO/TETANICO</t>
  </si>
  <si>
    <t>POLVERE E SOSPENSIONE PER SOSPENSIONE INIETTABILE 1 FLACONCINO + 1 SIRINGA PRERIEMPITA 0,5 ML + 2 AGHI USO INTRAMUSCOLARE</t>
  </si>
  <si>
    <t>POLVERE E SOSPENSIONE PER SOSPENSIONE INIETTABILE 10 FLACONCINI + 10 SIRINGHE PRERIEMPITE 0,5 ML + 20 AGHI USO INTRAMUSCOLARE</t>
  </si>
  <si>
    <t>INFLUMED</t>
  </si>
  <si>
    <t>PARACETAMOLO/CAFFEINA/CLORFENAMINA MALEATO/ISOPROPAMIDE IODURO</t>
  </si>
  <si>
    <t>"COMPRESSE RIVESTITE CON FILM" 12 COMPRESSE</t>
  </si>
  <si>
    <t>PARACETAMOLO/ACIDO ASCORBICO/CAFFEINA/CLORFENAMINA MALEATO/ISOPROPAMIDE IODURO</t>
  </si>
  <si>
    <t>"COMPRESSE EFFERVESCENTI CON VITAMINA C" 12 COMPRESSE</t>
  </si>
  <si>
    <t>INFRAMIN</t>
  </si>
  <si>
    <t>" 5,3 % SOLUZIONE PER INFUSIONE " 24 FLACONI DA 250 ML</t>
  </si>
  <si>
    <t>" 5,3 % SOLUZIONE PER INFUSIONE " 20 FLACONI DA 500 ML</t>
  </si>
  <si>
    <t>INHIXA</t>
  </si>
  <si>
    <t>ENOXAPARINA SODICA</t>
  </si>
  <si>
    <t>20 MG - SOLUZIONE INIETTABILE - USO ENDOARTERIOSO, USO ENDOVENOSO, USO SOTTOCUTANEO - SIRINGA PRERIEMPITA (VETRO) - 2 SIRINGHE PRERIEMPITE</t>
  </si>
  <si>
    <t>TECHDOW PHARMA NETHERLANDS B.V.</t>
  </si>
  <si>
    <t>40 MG - SOLUZIONE INIETTABILE - USO ENDOARTERIOSO, USO ENDOVENOSO, USO SOTTOCUTANEO - SIRINGA PRERIEMPITA (VETRO) CON COPRIAGO - 0,4 ML (100 MG/ML) - 2 SIRINGHE PRERIEMPITE</t>
  </si>
  <si>
    <t>INSPRA</t>
  </si>
  <si>
    <t>EPLERENONE</t>
  </si>
  <si>
    <t>"50 MG COMPRESSE RIVESTITE CON FILM" 30 COMPRESSE IN BLISTER PVC/AL</t>
  </si>
  <si>
    <t>INSUMAN</t>
  </si>
  <si>
    <t>INSULINA UMANA</t>
  </si>
  <si>
    <t>"RAPID 100 UI/ML SOLUZIONE INIETTABILE IN FIALA - USO INTRAMUSCOLARE E SOTTOCUTANEO" 5 FIALE DA 5 ML</t>
  </si>
  <si>
    <t>INTEFLUV</t>
  </si>
  <si>
    <t>Problemi regolatori</t>
  </si>
  <si>
    <t>la carenza è relativa sia al canale retail che al canale ospedaliero:                                                
 -  canale retail: inizio carenza 04/11/2020                                             
 -  canale ospedaliero: inizio carenza 22/08/2020</t>
  </si>
  <si>
    <t>INTELENCE</t>
  </si>
  <si>
    <t>ETRAVIRINE</t>
  </si>
  <si>
    <t>"100 MG COMPRESSE USO ORALE - FLACONE (HDPE)" 120 COMPRESSE</t>
  </si>
  <si>
    <t>JANSSEN-CILAG INTERNATIONAL N.V.</t>
  </si>
  <si>
    <t>INTRASTIGMINA</t>
  </si>
  <si>
    <t>NEOSTIGMINA METILSOLFATO</t>
  </si>
  <si>
    <t>"0,5 MG/ ML SOLUZIONE INIETTABILE" 6 FIALE 1 ML</t>
  </si>
  <si>
    <t>INTRATECT</t>
  </si>
  <si>
    <t>PROTEINE PLASMATICHE UMANE</t>
  </si>
  <si>
    <t>"50G/L SOLUZIONE PER INFUSIONE" 1 FLACONCINO IN VETRO DA 20 ML</t>
  </si>
  <si>
    <t>"50 G/L SOLUZIONE PER INFUSIONE" 1 FLACONCINO IN VETRO DA 50 ML</t>
  </si>
  <si>
    <t>"50 G/L SOLUZIONE PER INFUSIONE" 1 FLACONCINO IN VETRO DA 100 ML</t>
  </si>
  <si>
    <t>"50 G/L SOLUZIONE PER INFUSIONE" 1 FLACONCINO IN VETRO DA 200 ML</t>
  </si>
  <si>
    <t>"100 G/L SOLUZIONE PER INFUSIONE" 1 FLACONCINO IN VETRO DA 10 ML</t>
  </si>
  <si>
    <t>"100 G/L SOLUZIONE PER INFUSIONE" 1 FLACONCINO IN VETRO DA 50 ML</t>
  </si>
  <si>
    <t>"100 G/L SOLUZIONE PER INFUSIONE" 1 FLACONCINO IN VETRO DA 100 ML</t>
  </si>
  <si>
    <t>"100 G/L SOLUZIONE PER INFUSIONE" 1 FLACONCINO IN VETRO DA 200 ML</t>
  </si>
  <si>
    <t>"100 G/L SOLUZIONE PER INFUSIONE" 1 FLACONCINO IN VETRO DA 25 ML</t>
  </si>
  <si>
    <t>INTRONA</t>
  </si>
  <si>
    <t>INTERFERONE ALFA 2B</t>
  </si>
  <si>
    <t>10 MIU  SOLUZIONE INIETTABILE 1 FLACONCINO USO SOTTOCUTANEO O INTRAVENOSO</t>
  </si>
  <si>
    <t>Per dettagli si prega di fare riferimento al comunicato pubblicato alla pagina https://www.aifa.gov.it/web/guest/-/aggiornamento-sulla-carenza-delle-specialita-medicinali-a-base-di-interferone-alfa-2a-e-2b-e-delle-loro-rispettive-forme-pegilate</t>
  </si>
  <si>
    <t>25 MIU  SOLUZIONE INIETTABILE 1 FLACONCINO USO SOTTOCUTANEO O INTRAVENOSO</t>
  </si>
  <si>
    <t>18 MIU  SOLUZIONE INIETTABILE IN PENNA MULTIDOSE - CARTUCCIA IN PENNA MULTIDOSE 1 PENNA + 6 KIT PER INIEZIONE USO SOTTOCUTANEO</t>
  </si>
  <si>
    <t>le penne multidose non sono più commercializzate dal titolare a livello globale</t>
  </si>
  <si>
    <t>30 MIU  SOLUZIONE INIETTABILE IN PENNA MULTIDOSE - CARTUCCIA IN PENNA MULTIDOSE 1 PENNA + 6 KIT PER INIEZIONE USO SOTTOCUTANEO</t>
  </si>
  <si>
    <t>18 MIU  SOLUZIONE INIETTABILE 1 FLACONCINO USO SOTTOCUTANEO O INTRAVENOSO</t>
  </si>
  <si>
    <t>Medicinale attualmente disponibile</t>
  </si>
  <si>
    <t>INVEGA</t>
  </si>
  <si>
    <t>PALIPERIDONE</t>
  </si>
  <si>
    <t>"3 MG COMPRESSA A RILASCIO PROLUNGATO - USO ORALE" BLISTER (PVC/PCTFE/ALU) 28 COMPRESSE</t>
  </si>
  <si>
    <t>"6 MG COMPRESSA A RILASCIO PROLUNGATO - USO ORALE" BLISTER (PVC/PCTFE/ALU) 28 COMPRESSE</t>
  </si>
  <si>
    <t>"9 MG COMPRESSA A RILASCIO PROLUNGATO - USO ORALE" BLISTER (PVC/PCTFE/ALU) 28 COMPRESSE</t>
  </si>
  <si>
    <t>IOMERON</t>
  </si>
  <si>
    <t>IOMEPROLO</t>
  </si>
  <si>
    <t>"350 MG/ML SOLUZIONE INIETTABILE" 1 FLACONE VETRO TIPO I E II DA 500 ML L</t>
  </si>
  <si>
    <t>BRACCO IMAGING ITALIA S.R.L.</t>
  </si>
  <si>
    <t>IOPAMIRO</t>
  </si>
  <si>
    <t>IOPAMIDOLO</t>
  </si>
  <si>
    <t>"300 MG/ML SOLUZIONE INIETTABILE" 1 FLACONE DA 30 ML</t>
  </si>
  <si>
    <t>BRACCO IMAGING S.P.A.</t>
  </si>
  <si>
    <t>"370 MG/ML SOLUZIONE INIETTABILE" 1 FIALA 10 ML</t>
  </si>
  <si>
    <t>"370 MG/ML SOLUZIONE INIETTABILE" 1 FLACONE DA 30 ML</t>
  </si>
  <si>
    <t>"300 MG/ML SOLUZIONE INIETTABILE" 1 FLACONE DA 100 ML</t>
  </si>
  <si>
    <t>IPERTROFAN</t>
  </si>
  <si>
    <t>MEPARTRICINA</t>
  </si>
  <si>
    <t>"40 MG COMPRESSE GASTRORESISTENTI" 20 COMPRESSE</t>
  </si>
  <si>
    <t>IRBECOR</t>
  </si>
  <si>
    <t>"300 MG COMPRESSE RIVESTITE CON FILM" 28 COMPRESSE</t>
  </si>
  <si>
    <t>IRBESARTAN AUROBINDO</t>
  </si>
  <si>
    <t>"150 MG COMPRESSE" 28 COMPRESSE IN BLISTER PVC/PVDC/AL</t>
  </si>
  <si>
    <t>"300 MG COMPRESSE" 28 COMPRESSE IN BLISTER PVC/PVDC/AL</t>
  </si>
  <si>
    <t>IRBESARTAN E IDROCLOROTIAZIDE AUROBINDO</t>
  </si>
  <si>
    <t>IDROCLOROTIAZIDE + IRBESARTAN</t>
  </si>
  <si>
    <t>"150 MG/12,5 MG COMPRESSE RIVESTITE CON FILM" 28 COMPRESSE IN BLISTER PA/AL/PVC/AL</t>
  </si>
  <si>
    <t>"300 MG/12,5 MG COMPRESSE RIVESTITE CON FILM" 28 COMPRESSE IN BLISTER PA/AL/PVC/AL</t>
  </si>
  <si>
    <t>"300 MG/25 MG COMPRESSE RIVESTITE CON FILM" 28 COMPRESSE IN BLISTER PA/AL/PVC/AL</t>
  </si>
  <si>
    <t>IRBESARTAN E IDROCLOROTIAZIDE SANDOZ</t>
  </si>
  <si>
    <t>"150 MG/12.5 MG COMPRESSE RIVESTITE CON FILM" 28 COMPRESSE IN BLISTER AL/AL</t>
  </si>
  <si>
    <t>"300 MG/25 MG COMPRESSE RIVESTITE CON FILM" 28 COMPRESSE IN BLISTER AL/AL</t>
  </si>
  <si>
    <t>"300 MG/12.5 MG COMPRESSE RIVESTITE CON FILM" 28 COMPRESSE IN BLISTER AL/AL</t>
  </si>
  <si>
    <t>IRBESARTAN PENSA</t>
  </si>
  <si>
    <t>" 300 MG COMPRESSE RIVESTITE CON FILM " 28 COMPRESSE IN BLISTER PVC/PVDC/AL</t>
  </si>
  <si>
    <t>" 150 MG COMPRESSE RIVESTITE CON FILM " 28 COMPRESSE IN BLISTER PVC/PVDC/AL</t>
  </si>
  <si>
    <t>IRBESARTAN SANDOZ</t>
  </si>
  <si>
    <t>"150 MG COMPRESSE RIVESTITE CON FILM" 28 COMPRESSE IN BLISTER PVC/PVDC//AL</t>
  </si>
  <si>
    <t>"300 MG COMPRESSE RIVESTITE CON FILM" 28 COMPRESSE IN BLISTER PVC/PVDC//AL</t>
  </si>
  <si>
    <t>IRBESARTAN SUN</t>
  </si>
  <si>
    <t>" 300 MG COMPRESSE RIVESTITE CON FILM " 28 COMPRESSE IN BLISTER PVC/PE/PVDC/AL</t>
  </si>
  <si>
    <t>IRBESARTAN/IDROCLOROTIAZIDE TEVA</t>
  </si>
  <si>
    <t>"150MG/12.5MG - COMPRESSA RIVESTITA CON FILM - USO ORALE - BLISTER (ALU/ALU)" 28 COMPRESSE</t>
  </si>
  <si>
    <t>"300MG/12.5MG - COMPRESSA RIVESTITA CON FILM - USO ORALE - BLISTER (ALU/ALU)" 28 COMPRESSE</t>
  </si>
  <si>
    <t>"300MG/25MG - COMPRESSA RIVESTITA CON FILM - USO ORALE - BLISTER (ALU/ALU)" 28 COMPRESSE</t>
  </si>
  <si>
    <t>IRINOTECAN ACCORD</t>
  </si>
  <si>
    <t>IRINOTECAN CLORIDRATO TRIIDRATO</t>
  </si>
  <si>
    <t>"20 MG/ML CONCENTRATO PER SOLUZIONE PER INFUSIONE" 1 FLACONCINO IN VETRO DA 15 ML</t>
  </si>
  <si>
    <t>IRINOTECAN AUROBINDO</t>
  </si>
  <si>
    <t>IRINOTECAN MYLAN GENERICS</t>
  </si>
  <si>
    <t>"20 MG/ML CONCENTRATO PER SOLUZIONE PER INFUSIONE" 1 FLACONCINO DA 25 ML</t>
  </si>
  <si>
    <t>ISCHEMOL A</t>
  </si>
  <si>
    <t>TETRIZOLINA/CLORFENAMINA</t>
  </si>
  <si>
    <t>"0,05% + 0,1% COLLIRIO, SOLUZIONE" FLACONE 10 ML</t>
  </si>
  <si>
    <t>ISMO</t>
  </si>
  <si>
    <t>ISOSORBIDE MONONITRATO</t>
  </si>
  <si>
    <t>"DIFFUTAB 40 MG COMPRESSE A RILASCIO PROLUNGATO" 30 COMPRESSE</t>
  </si>
  <si>
    <t>RIEMSER PHARMA GMBH</t>
  </si>
  <si>
    <t>ISOCEF</t>
  </si>
  <si>
    <t>"36 MG/ML GRANULATO PER SOSPENSIONE ORALE" 1 FLACONE DA 15 G</t>
  </si>
  <si>
    <t>ISORIAC</t>
  </si>
  <si>
    <t>ISOTRETINOINA</t>
  </si>
  <si>
    <t>"10 MG CAPSULE MOLLI" 30 CAPSULE IN BLISTER PVC/PE/PVDC/AL</t>
  </si>
  <si>
    <t>"20 MG CAPSULE MOLLI" 30 CAPSULE IN BLISTER PVC/PE/PVDC/AL</t>
  </si>
  <si>
    <t>ISOSORBIDE MONONITRATO MYLAN GENERICS</t>
  </si>
  <si>
    <t>" 20 MG COMPRESSE " 50 COMPRESSE</t>
  </si>
  <si>
    <t>" 40 MG COMPRESSE " 30 COMPRESSE</t>
  </si>
  <si>
    <t>" 60 MG COMPRESSE A RILASCIO PROLUNGATO " 30 COMPRESSE</t>
  </si>
  <si>
    <t>ITAMIDOL</t>
  </si>
  <si>
    <t>DICLOFENAC</t>
  </si>
  <si>
    <t>"3 % SCHIUMA CUTANEA" CONTENITORE SOTTO PRESSIONE 50 G</t>
  </si>
  <si>
    <t>IVABRADINA ACCORD</t>
  </si>
  <si>
    <t>IVABRADINA</t>
  </si>
  <si>
    <t>5 MG - COMPRESSA RIVESTITA CON FILM - USO ORALE - BLISTER (ALL/ALL) - 56 X 1 COMPRESSE (DOSE UNITARIA)</t>
  </si>
  <si>
    <t>7,5 MG - COMPRESSA RIVESTITA CON FILM - USO ORALE - BLISTER (ALL/ALL) - 56 X 1 COMPRESSE (DOSE UNITARIA)</t>
  </si>
  <si>
    <t>IVABRADINA AUROBINDO</t>
  </si>
  <si>
    <t>IVABRADINA CLORIDRATO</t>
  </si>
  <si>
    <t>"5 MG COMPRESSE RIVESTITE CON FILM" 56 COMPRESSE IN BLISTER PA/AL/PVC-AL</t>
  </si>
  <si>
    <t>IZINOVA</t>
  </si>
  <si>
    <t>MAGNESIO SOLFATO EPTAIDRATO + POTASSIO SOLFATO + SODIO SOLFATO ANIDRO</t>
  </si>
  <si>
    <t>"CONCENTRATO PER SOLUZIONE ORALE" 2 FLACONI IN PE DA 176 ML CON BICCHIERE DOSATORE</t>
  </si>
  <si>
    <t>IPSEN CONSUMER HEALTHCARE S.R.L.</t>
  </si>
  <si>
    <t>K FLEBO</t>
  </si>
  <si>
    <t>POTASSIO ASPARTATO</t>
  </si>
  <si>
    <t>"1 MEQ/ML CONCENTRATO PER SOLUZIONE PER INFUSIONE E PER USO ORALE" 5 FIALE 10 ML</t>
  </si>
  <si>
    <t>"3 MEQ/ML  CONCENTRATO PER SOLUZIONE PER INFUSIONE E PER USO ORALE" 5 FIALE 10 ML</t>
  </si>
  <si>
    <t>KAMELYN</t>
  </si>
  <si>
    <t>GENTAMICINA/BETAMETASONE</t>
  </si>
  <si>
    <t>"0,1% + 0,1% CREMA" TUBO 30 G</t>
  </si>
  <si>
    <t>KARVEA</t>
  </si>
  <si>
    <t>KATASMA</t>
  </si>
  <si>
    <t>DIPROFILLINA</t>
  </si>
  <si>
    <t>"200 MG/2 ML SOLUZIONE INIETTABILE PER USO INTRAMUSCOLARE O ENDOVENOSO" 10 FIALE DA 2 ML</t>
  </si>
  <si>
    <t>"300 MG/10 ML SOLUZIONE INIETTABILE PER USO ENDOVENOSO" 3 FIALE DA 10 ML</t>
  </si>
  <si>
    <t>KENACORT</t>
  </si>
  <si>
    <t>"40 MG/ ML SOSPENSIONE INIETTABILE" 3 FLACONCINI DA 1 ML</t>
  </si>
  <si>
    <t>BRISTOL MYERS SQUIBB S.R.L.</t>
  </si>
  <si>
    <t>KEPPRA</t>
  </si>
  <si>
    <t>LEVETIRACETAM</t>
  </si>
  <si>
    <t>100 MG/ML CONCENTRATO PER SOLUZIONE PER INFUSIONE" USO ENDOVENOSO 10 FLACONCINI  DA 500 MG/5 ML</t>
  </si>
  <si>
    <t>UCB PHARMA S.A.</t>
  </si>
  <si>
    <t>KERAFILMVER</t>
  </si>
  <si>
    <t>ACIDO SALICILICO/ACIDO LATTICO</t>
  </si>
  <si>
    <t>"COLLODIO" FLACONE DA 10 ML CON APPLICATORE E 6 CEROTTI PROTETTIVI</t>
  </si>
  <si>
    <t>KETEK</t>
  </si>
  <si>
    <t>TELITROMICINA</t>
  </si>
  <si>
    <t>400 MG 10 COMPRESSE RIVESTITE CON FILM IN BLISTER USO ORALE</t>
  </si>
  <si>
    <t>AVENTIS PHARMA S.A.</t>
  </si>
  <si>
    <t>KETONOVA</t>
  </si>
  <si>
    <t>KETOCONAZOLO</t>
  </si>
  <si>
    <t>"2% SHAMPOO" 1 FLACONE HDPE DA 60 ML</t>
  </si>
  <si>
    <t>SIFARMA S.P.A.</t>
  </si>
  <si>
    <t>"2% SHAMPOO" 1 FLACONE HDPE DA 120 ML</t>
  </si>
  <si>
    <t>KETOROLAC EG</t>
  </si>
  <si>
    <t>KETOROLAC TROMETAMOLO</t>
  </si>
  <si>
    <t>" 20 MG/ ML GOCCE ORALI, SOLUZIONE " FLACONE DA 10 ML</t>
  </si>
  <si>
    <t>KETOROLAC PENSA</t>
  </si>
  <si>
    <t>" 20 MG/ML GOCCE ORALI, SOLUZIONE " FLACONE DA 10 ML</t>
  </si>
  <si>
    <t>KETOROLAC SANDOZ</t>
  </si>
  <si>
    <t>KEYTRUDA</t>
  </si>
  <si>
    <t>PEMBROLIZUMAB</t>
  </si>
  <si>
    <t>50 MG - POLVERE PER CONCENTRATO PER SOLUZIONE PER INFUSIONE -  USO ENDOVENOSO - FLACONCINO (VETRO) 1 FLACONCINO</t>
  </si>
  <si>
    <t>KIOVIG</t>
  </si>
  <si>
    <t>100 MG/ML SOLUZIONE PER INFUSIONE USO INTRAVENOSO FLACONE VETRO 1 G/10 ML 1 FLACONE</t>
  </si>
  <si>
    <t>TAKEDA MANUFACTURING AUSTRIA AG</t>
  </si>
  <si>
    <t>100 MG/ML SOLUZIONE PER INFUSIONE USO INTRAVENOSO FLACONE VETRO 2,5 G/25 ML 1 FLACONE</t>
  </si>
  <si>
    <t>100 MG/ML SOLUZIONE PER INFUSIONE USO INTRAVENOSO FLACONE VETRO 5 G/50 ML 1 FLACONE</t>
  </si>
  <si>
    <t>100 MG/ML SOLUZIONE PER INFUSIONE USO INTRAVENOSO FLACONE VETRO 10 G/100 ML 1 FLACONE</t>
  </si>
  <si>
    <t>100 MG/ML SOLUZIONE PER INFUSIONE USO INTRAVENOSO FLACONE VETRO 20 G/200 ML 1 FLACONE</t>
  </si>
  <si>
    <t>"100 MG/ML - SOLUZIONE PER INFUSIONE - USO INTRAVENOSO - FLACONCINO(VETRO) - 30G/300ML" 1 FLACONCINO</t>
  </si>
  <si>
    <t>KIRKOS</t>
  </si>
  <si>
    <t>ETINILESTRADIOLO + ETONOGESTREL</t>
  </si>
  <si>
    <t>"0,12 MG/ 0,015 MG OGNI 24 ORE DISPOSITIVO VAGINALE" 1 DISPOSITIVO IN BUSTINA PET/AL/LDPE</t>
  </si>
  <si>
    <t>"0,12 MG/ 0,015 MG OGNI 24 ORE DISPOSITIVO VAGINALE" 3 DISPOSITIVI IN BUSTINE PET/AL/LDPE</t>
  </si>
  <si>
    <t>KOGENATE BAYER</t>
  </si>
  <si>
    <t>FATTORE VIII DI COAGULAZIONE DEL SANGUE UMANO DA INGEGNERIA GENETICA</t>
  </si>
  <si>
    <t>250 UI 1 FLACONCINO DI POLV + 1 SIRINGA PRER 2,5 ML DI SOLVENTE, SET PER INIEZIONE IN VENA, DUE TAMPONI STERILI DUE TAMPONI ASCIUTTI + 2 CEROTTI</t>
  </si>
  <si>
    <t>500 UI 1 FLACONCINO DI POLV + 1 SIRINGA PRER 2,5 ML DI SOLVENTE, SET PER INIEZIONE IN VENA, DUE TAMPONI STERILI DUE TAMPONI ASCIUTTI + 2 CEROTTI</t>
  </si>
  <si>
    <t>1000 UI 1 FLACONCINO DI POLV + 1 SIRINGA PRER 2,5 ML DI SOLVENTE, SET PER INIEZIONE IN VENA, DUE TAMPONI STERILI DUE TAMPONI ASCIUTTI + 2 CEROTTI</t>
  </si>
  <si>
    <t>"2000 UI POLVERE E SOLV PER SOLUZ INIETTABILE-USO ENDOVENOSO- POLV:FLAC.VETRO; SOLV: 5 ML SIRINGA PRER VETRO" 1 FLAC.+SIRINGA PRERIEM+1 DISP. BIO-SET</t>
  </si>
  <si>
    <t>"3000 UI-POLVERE E SOLVENTE- USO ENDOVENOSO-5,0 ML " 1 FLACONCINO+1 SIRINGA PRERIEMPITA+1 DISP BIO-SET</t>
  </si>
  <si>
    <t>KOLEROS</t>
  </si>
  <si>
    <t>"40 MG COMPRESSE RIVESTITE CON FILM" 28 COMPRESSE IN BLISTER AL/AL</t>
  </si>
  <si>
    <t>KONPHARMA S.R.L.</t>
  </si>
  <si>
    <t>KOLIBRI</t>
  </si>
  <si>
    <t>PARACETAMOLO + TRAMADOLO CLORIDRATO</t>
  </si>
  <si>
    <t>"37,5 MG/325 MG COMPRESSE EFFERVESCENTI" 20 COMPRESSE IN BLISTER</t>
  </si>
  <si>
    <t>KOVILEN</t>
  </si>
  <si>
    <t>NEDOCROMILE SODICO</t>
  </si>
  <si>
    <t>"2% COLLIRIO, SOLUZIONE" 1 FLACONE DA 5 ML</t>
  </si>
  <si>
    <t>KRENOSIN</t>
  </si>
  <si>
    <t>"6 MG/2 ML SOLUZIONE INIETTABILE PER USO ENDOVENOSO" 6 FLACONCINI 2 ML</t>
  </si>
  <si>
    <t>KRINUVEN</t>
  </si>
  <si>
    <t>AMINOACIDI/ELETTROLITI/GLUCOSIO (DESTROSIO) ANIDRO/LIPIDI</t>
  </si>
  <si>
    <t>"EMULSIONE PER INFUSIONE CON ELETTROLITI" 4 SACCHE BIOFINE DA 1970 ML</t>
  </si>
  <si>
    <t>" EMULSIONE PER INFUSIONE CON ELETTROLITI " 4 SACCHE BIOFINE 1477 ML</t>
  </si>
  <si>
    <t>LAEVOLAC</t>
  </si>
  <si>
    <t>10 BUSTINE 10 GR</t>
  </si>
  <si>
    <t>LAEVOLAC EPS</t>
  </si>
  <si>
    <t>"10 G GRANULATO PER SOLUZIONE ORALE" 20 BUSTINE</t>
  </si>
  <si>
    <t>LAMICTAL</t>
  </si>
  <si>
    <t>LAMOTRIGINA</t>
  </si>
  <si>
    <t>"5  MG  COMPRESSE  MASTICABILI/  DISPERSIBILI"  28_x000D_
COMPRESSE IN BLISTER PVC/PVDC/FOGLIO DI ALLUMINIO</t>
  </si>
  <si>
    <t>LAMIVUDINA ACCORD</t>
  </si>
  <si>
    <t>LAMIVUDINA</t>
  </si>
  <si>
    <t>"100 MG COMPRESSE RIVESTITE CON FILM" 28 COMPRESSE IN BLISTER AL/PVC/AL/OPA</t>
  </si>
  <si>
    <t>"300 MG COMPRESSE RIVESTITE CON FILM" 30 COMPRESSE IN BLISTER AL/PVC/AL/OPA</t>
  </si>
  <si>
    <t>LAMIVUDINA TEVA PHARMA B.V.</t>
  </si>
  <si>
    <t>"300 MG - COMPRESSA RIVESTITA CON FILM - USO ORALE - CONTENITORE PER COMPRESSE (HPDE)" 30 COMPRESSE</t>
  </si>
  <si>
    <t>LAMIVUDINA/ZIDOVUDINA TEVA</t>
  </si>
  <si>
    <t>LAMIVUDINA + ZIDOVUDINA</t>
  </si>
  <si>
    <t>"150MG/300MG - COMPRESSA RIVESTITA CON FILM - USO ORALE - BLISTER (OPA/ALU/PVC)" 60 COMPRESSE</t>
  </si>
  <si>
    <t>LAMOTRIGINA SANDOZ</t>
  </si>
  <si>
    <t>"200 MG COMPRESSE DISPERSIBILI " 56 COMPRESSE</t>
  </si>
  <si>
    <t>LANITOP</t>
  </si>
  <si>
    <t>METILDIGOSSINA</t>
  </si>
  <si>
    <t>"0,6 MG/ML GOCCE ORALI, SOLUZIONE" FLACONE 10 ML</t>
  </si>
  <si>
    <t>"0,1 MG COMPRESSE" 30 COMPRESSE</t>
  </si>
  <si>
    <t>"0,05 MG COMPRESSE" 40 COMPRESSE</t>
  </si>
  <si>
    <t>LANOXIN</t>
  </si>
  <si>
    <t>DIGOSSINA</t>
  </si>
  <si>
    <t>"0,5 MG/2 ML SOLUZIONE INIETTABILE" 6 FIALE DA 2 ML</t>
  </si>
  <si>
    <t>LANSOPRAZOLO MYLAN GENERICS ITALIA</t>
  </si>
  <si>
    <t>"15 MG COMPRESSE ORODISPERSIBILI" 14 COMPRESSE IN BLISTER OPA/AL/PVC/CARTA/PET/AL/HSL</t>
  </si>
  <si>
    <t>LASTICOM</t>
  </si>
  <si>
    <t>AZELASTINA CLORIDRATO</t>
  </si>
  <si>
    <t>"0,5MG/ML COLLIRIO SOLUZIONE" 1 FLACONE DA 6 ML</t>
  </si>
  <si>
    <t>MEDA PHARMA GMBH &amp; CO. KG</t>
  </si>
  <si>
    <t>LATANOPROST E TIMOLOLO SANDOZ</t>
  </si>
  <si>
    <t>LATANOPROST + TIMOLOLO</t>
  </si>
  <si>
    <t>"50 MICROGRAMMI/ML + 5 MG/ML COLLIRIO, SOLUZIONE"  2,5 ML IN UN FLACONE DA 5 ML</t>
  </si>
  <si>
    <t>LATANOPROST PENSA</t>
  </si>
  <si>
    <t>LATANOPROST</t>
  </si>
  <si>
    <t>" 0,005 % COLLIRIO, SOLUZIONE " 1 FLACONE DA 2,5 ML</t>
  </si>
  <si>
    <t>LATTULAC</t>
  </si>
  <si>
    <t>" 67 G/100 ML SCIROPPO " 10 BUSTINE DA 15 ML</t>
  </si>
  <si>
    <t>" 67 G/100 ML SCIROPPO " 20 BUSTINE DA 15 ML</t>
  </si>
  <si>
    <t>" 67 G/100 ML SCIROPPO " 40 BUSTINE DA 15 ML</t>
  </si>
  <si>
    <t>LATTULAC EPS</t>
  </si>
  <si>
    <t>"66,7 G/100ML SCIROPPO" FLACONE DA 180 ML</t>
  </si>
  <si>
    <t>LEDERFOLIN</t>
  </si>
  <si>
    <t>"2,5 MG GRANULATO PER SOLUZIONE ORALE" 20 BUSTINE</t>
  </si>
  <si>
    <t>LEFCAR</t>
  </si>
  <si>
    <t>LEVOCARNITINA</t>
  </si>
  <si>
    <t>"1 G/5 ML SOLUZIONE INIETTABILE" 5 FIALE DA 5 ML</t>
  </si>
  <si>
    <t>LEFLUNOMIDE MYLAN</t>
  </si>
  <si>
    <t>" 20 MG COMPRESSE RIVESTITE CON FILM" 30 COMPRESSE IN  BLISTER PA/ALU/PVC-AL(ALU/ALU)</t>
  </si>
  <si>
    <t>LEFLUNOMIDE SANDOZ</t>
  </si>
  <si>
    <t>"20 MG COMPRESSE RIVESTITE CON FILM" 30 COMPRESSE IN FLACONE HDPE</t>
  </si>
  <si>
    <t>LENOSPREAD</t>
  </si>
  <si>
    <t>CREMA 50 G 1%</t>
  </si>
  <si>
    <t>LEPONEX</t>
  </si>
  <si>
    <t>"25 MG COMPRESSE" 28 COMPRESSE</t>
  </si>
  <si>
    <t>"100 MG COMPRESSE" 28 COMPRESSE</t>
  </si>
  <si>
    <t>LERCANIDIPINA AUROBINDO</t>
  </si>
  <si>
    <t>LERCANIDIPINA CLORIDRATO</t>
  </si>
  <si>
    <t>"10 MG COMPRESSE RIVESTITE CON FILM" 28 COMPRESSE IN BLISTER AL/PVDC</t>
  </si>
  <si>
    <t>LERCANIDIPINA MYLAN ITALIA</t>
  </si>
  <si>
    <t>" 20 MG COMPRESSE RIVESTITE CON FILM " 28 COMPRESSE IN BLISTER AL/PVC</t>
  </si>
  <si>
    <t>" 10 MG COMPRESSE RIVESTITE CON FILM " 28 COMPRESSE IN BLISTER AL/PVC</t>
  </si>
  <si>
    <t>LERCANIDIPINA SANDOZ</t>
  </si>
  <si>
    <t>"20 MG COMPRESSE RIVESTITE CON FILM" 28 COMPRESSE IN BLISTER AL/PVC</t>
  </si>
  <si>
    <t>"10 MG COMPRESSE RIVESTITE CON FILM" 28 COMPRESSE IN BLISTER AL/PVC</t>
  </si>
  <si>
    <t>LERCANIDIPINA SUN</t>
  </si>
  <si>
    <t>"10 MG COMPRESSE RIVESTITE CON FILM" 28 COMPRESSE IN BLISTER PVDC/AL</t>
  </si>
  <si>
    <t>LESCOL</t>
  </si>
  <si>
    <t>FLUVASTATINA SODICA</t>
  </si>
  <si>
    <t>"40 MG CAPSULE RIGIDE" 14 CAPSULE</t>
  </si>
  <si>
    <t>LETROZOLO ACTAVIS</t>
  </si>
  <si>
    <t>LETROZOLO</t>
  </si>
  <si>
    <t>"2,5 MG COMPRESSE RIVESTITE CON FILM" 30 COMPRESSE IN BLISTER PVC/AL</t>
  </si>
  <si>
    <t>LEVETIRACETAM ACCORD HEALTHCARE</t>
  </si>
  <si>
    <t>"100MG/ML SOLUZIONE ORALE" 1 FLACONE IN VETRO DA 300 ML CON SIRINGA ORALE GRADUATA DA 10 ML ED ADATTATORE PER SIRINGA</t>
  </si>
  <si>
    <t>"100MG/ML SOLUZIONE ORALE" 1 FLACONE IN VETRO DA 150 ML CON SIRINGA ORALE GRADUATA DA 3 ML ED ADATTATORE PER SIRINGA</t>
  </si>
  <si>
    <t>"100MG/ML SOLUZIONE ORALE" 1 FLACONE IN VETRO DA 150 ML CON SIRINGA ORALE GRADUATA DA 1 ML ED ADATTATORE PER SIRINGA</t>
  </si>
  <si>
    <t>LEVETIRACETAM ALMUS</t>
  </si>
  <si>
    <t>"500 MG COMPRESSE RIVESTITE CON FILM" 60 COMPRESSE IN BLISTER PVC-PVC/PVDC/AL</t>
  </si>
  <si>
    <t>LEVETIRACETAM AUROBINDO</t>
  </si>
  <si>
    <t>"500 MG COMPRESSE RIVESTITE CON FILM" 60 COMPRESSE IN BLISTER PVC/PE/PVDC-AL</t>
  </si>
  <si>
    <t>"1000 MG COMPRESSE RIVESTITE CON FILM" 30 COMPRESSE IN BLISTER PVC/PE/PVDC-AL</t>
  </si>
  <si>
    <t>LEVETIRACETAM AUROBINDO PHARMA ITALIA</t>
  </si>
  <si>
    <t>"100 MG/ML SOLUZIONE ORALE" 1 FLACONE IN VETRO DA 300 ML  CON 1 SIRINGA PER SOMMINISTRAZIONE ORALE DA 10 ML E 1 ADATTORE PER LA SIRINGA</t>
  </si>
  <si>
    <t>LEVETIRACETAM KRKA</t>
  </si>
  <si>
    <t>"500 MG COMPRESSE RIVESTITE CON FILM" 60 COMPRESSE IN BLISTER PVC/PVDC/AL</t>
  </si>
  <si>
    <t>LEVETIRACETAM MYLAN GENERICS</t>
  </si>
  <si>
    <t>"1000 MG COMPRESSE RIVESTITE CON FILM" 30 COMPRESSE IN BLISTER PVC/AL</t>
  </si>
  <si>
    <t>LEVETIRACETAM MYLAN PHARMA</t>
  </si>
  <si>
    <t>"500 MG COMPRESSE RIVESTITE CON FILM" 60 COMPRESSE IN BLISTER ACLAR/PVC/AL</t>
  </si>
  <si>
    <t>LEVETIRACETAM RATIOPHARM</t>
  </si>
  <si>
    <t>"100 MG/ML-SOLUZIONE ORALE-USO ORALE-FLACONE (VETRO)- 300 ML" 1 FLACONE + 1 SIRINGA PER SOMMINISTRAZIONE ORALE DA 10 ML</t>
  </si>
  <si>
    <t>LEVETIRACETAM SANDOZ</t>
  </si>
  <si>
    <t>"500 MG COMPRESSE RIVESTITE CON FILM" 60 COMPRESSE IN BLISTER OPA/AL/PVC-AL</t>
  </si>
  <si>
    <t>"1000 MG COMPRESSE RIVESTITE CON FILM" 30 COMPRESSE IN BLISTER OPA/AL/PVC-AL</t>
  </si>
  <si>
    <t>LEVETIRACETAM SUN</t>
  </si>
  <si>
    <t>"100 MG/ML - CONCENTRATO PER SOLUZIONE PER INFUSIONE - USO ENDOVENOSO - FLACONCINO (VETRO) - 5 ML" 10 FLACONCINI</t>
  </si>
  <si>
    <t>LEVETIRACETAM TECNIGEN</t>
  </si>
  <si>
    <t>"1000 MG COMPRESSE RIVESTITE CON FILM" 30 COMPRESSE IN PVC/PE/PVDC/PE/PVC/AL</t>
  </si>
  <si>
    <t>LEVITRA</t>
  </si>
  <si>
    <t>VARDENAFIL CLORIDRATO TRIIDRATO</t>
  </si>
  <si>
    <t>"5 MG COMPRESSE RIVESTITE CON FILM" 4 COMPRESSE IN BLISTER (PP/ALU) USO ORALE</t>
  </si>
  <si>
    <t>"10 MG COMPRESSE RIVESTITE CON FILM" 2 COMPRESSE IN BLISTER (PP/ALU) USO ORALE</t>
  </si>
  <si>
    <t>"10 MG COMPRESSE RIVESTITE CON FILM" 4 COMPRESSE IN BLISTER (PP/ALU) USO ORALE</t>
  </si>
  <si>
    <t>"20 MG COMPRESSE RIVESTITE CON FILM" 4 COMPRESSE IN BLISTER (PP/ALU) USO ORALE</t>
  </si>
  <si>
    <t>"20 MG COMPRESSE RIVESTITE CON FILM" 12 COMPRESSE IN BLISTER (PP/ALU) USO ORALE</t>
  </si>
  <si>
    <t>" 10 MG-COMPRESSA ORODISPERSIBILE-USO ORALE-BLISTER(ALU/ALU) IN PORTA BLISTER" 4 COMPRESSE</t>
  </si>
  <si>
    <t>"10 MG-COMPRESSA ORODISPERSIBILE-USO ORALE-BLISTER(ALU/ALU) IN PORTA BLISTER" 8 COMPRESSE</t>
  </si>
  <si>
    <t>"10 MG COMPRESSE RIVESTITE CON FILM" 8 COMPRESSE IN BLISTER (PP/ALU) USO ORALE</t>
  </si>
  <si>
    <t>LEVOCETIRIZINA AUROBINDO</t>
  </si>
  <si>
    <t>LEVOCETIRIZINA DICLORIDRATO</t>
  </si>
  <si>
    <t>"5 MG COMPRESSE RIVESTITE CON FILM" 20 COMPRESSE IN BLISTER PVC/PVDC/AL</t>
  </si>
  <si>
    <t>LEVOCETIRIZINA TEVA</t>
  </si>
  <si>
    <t>"5 MG COMPRESSE RIVESTITE CON FILM" 20 COMPRESSE IN BLISTER AL-OPA/AL/PVC</t>
  </si>
  <si>
    <t>la carenza è relativa sia al canale retail che al canale ospedaliero:                                                    
- canale retail: inizio carenza 15/05/2020
- canale ospedaliero: inizio carenza  11/05/2020</t>
  </si>
  <si>
    <t>LEVOFOLENE</t>
  </si>
  <si>
    <t>"7,5 MG COMPRESSE" 10 COMPRESSE</t>
  </si>
  <si>
    <t>LEVOTUSS</t>
  </si>
  <si>
    <t>"60 MG COMPRESSE" 20 COMPRESSE</t>
  </si>
  <si>
    <t>la carenza è relativa solo al canale retail</t>
  </si>
  <si>
    <t>LEVOXACIN</t>
  </si>
  <si>
    <t>LEVOFLOXACINA</t>
  </si>
  <si>
    <t>"5 MG/ML SOLUZIONE PER INFUSIONE ENDOVENOSA"1 FLACONE 100 ML</t>
  </si>
  <si>
    <t>LEXOTAN</t>
  </si>
  <si>
    <t>"3MG CAPSULE RIGIDE" 20 CAPSULE</t>
  </si>
  <si>
    <t>CHEPLAPHARM ARZNEIMITTEL GMBH</t>
  </si>
  <si>
    <t>LIBEXIN MUCOLITICO</t>
  </si>
  <si>
    <t>PRENOXDIAZINA/CARBOCISTEINA</t>
  </si>
  <si>
    <t>"1,67 G/100 ML + 2 G/100 ML SOSPENSIONE ORALE" FLACONE DA  200 ML</t>
  </si>
  <si>
    <t>LIBRAX</t>
  </si>
  <si>
    <t>CLIDINIO BROMURO/CLORDIAZEPOSSIDO</t>
  </si>
  <si>
    <t>"5MG+2,5MG COMPRESSE RIVESTITE" 20 COMPRESSE</t>
  </si>
  <si>
    <t>LIKACIN</t>
  </si>
  <si>
    <t>"1000 MG/4 ML SOLUZIONE INIETTABILE" 1 FLACONCINO 4 ML</t>
  </si>
  <si>
    <t>LINEZOLID ACCORD</t>
  </si>
  <si>
    <t>LINEZOLID</t>
  </si>
  <si>
    <t>"600 MG COMPRESSE RIVESTITE CON FILM" 10 COMPRESSE IN BLISTER AL/AL</t>
  </si>
  <si>
    <t>LINEZOLID ACCORD HEALTHCARE</t>
  </si>
  <si>
    <t>"2 MG/ML SOLUZIONE PER INFUSIONE" 10 SACCHE DA 300 ML IN PO</t>
  </si>
  <si>
    <t>LINEZOLID FRESENIUS KABI</t>
  </si>
  <si>
    <t>LINEZOLID MYLAN</t>
  </si>
  <si>
    <t>"2MG/ML SOLUZIONE PER INFUSIONE" 10X1 SACCHE IN PP DA 300 ML</t>
  </si>
  <si>
    <t>LINEZOLID MYLAN PHARMA</t>
  </si>
  <si>
    <t>"600 MG COMPRESSE RIVESTITE CON FILM" 10 COMPRESSE IN BLISTER OPA/AL/PVC/AL</t>
  </si>
  <si>
    <t>LINEZOLID SANDOZ</t>
  </si>
  <si>
    <t>" 600 MG COMPRESSE RIVESTITE CON FILM " 10 COMPRESSE IN BLISTER OPA/AL/PVC/AL</t>
  </si>
  <si>
    <t>LINEZOLID TEVA</t>
  </si>
  <si>
    <t>"600 MG COMPRESSE RIVESTITE CON FILM" 10 COMPRESSE IN BLISTER PVC/PVDC/AL</t>
  </si>
  <si>
    <t>LIOTONDOL</t>
  </si>
  <si>
    <t>"2,5 % GEL" 1 TUBO DA 50 G</t>
  </si>
  <si>
    <t>LIOTONDOL ACTION</t>
  </si>
  <si>
    <t>NAPROXENE SODICO</t>
  </si>
  <si>
    <t>"220 MG GRANULATO PER SOLUZIONE ORALE" 12 BUSTINE</t>
  </si>
  <si>
    <t>LIPAXAN</t>
  </si>
  <si>
    <t>"40 MG CAPSULE RIGIDE"  14 CAPSULE</t>
  </si>
  <si>
    <t>LISAMETHYLE</t>
  </si>
  <si>
    <t>METILPREDNISOLONE SODIO SUCCINATO</t>
  </si>
  <si>
    <t>"20 MG/2 ML POLVERE E SOLVENTE PER SOLUZIONE INIETTABILE " 1 FLACONE POLVERE + 1 FIALA SOLVENTE DA 2 ML</t>
  </si>
  <si>
    <t>LISOMUCIL TOSSE MUCOLITICO</t>
  </si>
  <si>
    <t>CARBOCISTEINA</t>
  </si>
  <si>
    <t>"1,5 G GRANULATO PER SOSPENSIONE ORALE" 20 BUSTINE</t>
  </si>
  <si>
    <t>LISOMUCIL TOSSE SEDATIVO</t>
  </si>
  <si>
    <t>DESTROMETORFANO BROMIDRATO</t>
  </si>
  <si>
    <t>" 10 MG PASTIGLIE " 24 PASTIGLIE IN BLISTER</t>
  </si>
  <si>
    <t>LISOZIMA SPA</t>
  </si>
  <si>
    <t>LISOZIMA CLORIDRATO</t>
  </si>
  <si>
    <t>"250 MG COMPRESSE" 24 COMPRESSE</t>
  </si>
  <si>
    <t>LITURSOL</t>
  </si>
  <si>
    <t>"300 MG COMPRESSE"20 COMPRESSE</t>
  </si>
  <si>
    <t>"450 MG CAPSULE RIGIDE A RILASCIO PROLUNGATO" 20 CAPSULE</t>
  </si>
  <si>
    <t>LIVIAL</t>
  </si>
  <si>
    <t>TIBOLONE</t>
  </si>
  <si>
    <t>"2,5MG COMPRESSE" 30 COMPRESSE</t>
  </si>
  <si>
    <t>LIXIANA</t>
  </si>
  <si>
    <t>EDOXABAN</t>
  </si>
  <si>
    <t>30 MG - COMPRESSA RIVESTITA CON FILM - USO ORALE - BLISTER (PVC/ALLUMINIO) - 10 X 1 COMPRESSE (DOSE UNITARIA)</t>
  </si>
  <si>
    <t>DAIICHI SANKYO EUROPE GMBH</t>
  </si>
  <si>
    <t>30 MG - COMPRESSA RIVESTITA CON FILM - USO ORALE - BLISTER (PVC/ALLUMINIO) - 50 X 1 COMPRESSE (DOSE UNITARIA)</t>
  </si>
  <si>
    <t>15 MG - COMPRESSA RIVESTITA CON FILM - USO ORALE - BLISTER (PVC/ALLUMINIO) - 10 X 1 COMPRESSE (DOSE UNITARIA)</t>
  </si>
  <si>
    <t>60 MG - COMPRESSA RIVESTITA CON FILM - USO ORALE - BLISTER (PVC/ALLUMINIO) - 10 X 1 COMPRESSE (DOSE UNITARIA)</t>
  </si>
  <si>
    <t>60 MG - COMPRESSA RIVESTITA CON FILM - USO ORALE - BLISTER (PVC/ALLUMINIO) - 50 X 1 COMPRESSE (DOSE UNITARIA)</t>
  </si>
  <si>
    <t>LLOYDOL</t>
  </si>
  <si>
    <t>" 1 % GEL" TUBO DA 50 G</t>
  </si>
  <si>
    <t>LLOYFLU</t>
  </si>
  <si>
    <t>FENILEFRINA + PARACETAMOLO</t>
  </si>
  <si>
    <t>"500 MG/12,2 MG POLVERE PER SOLUZIONE ORALE" 10 BUSTINE IN AL/CARTA</t>
  </si>
  <si>
    <t>LOCORTEN</t>
  </si>
  <si>
    <t>FLUMETASONE/CLIOCHINOLO</t>
  </si>
  <si>
    <t>"0,02% (FLUMETASONE) + 3% (CLIOCHINOLO) CREMA" TUBO 30 G</t>
  </si>
  <si>
    <t>"0,02% (FLUMETASONE) + 1% (CLIOCHINOLO) GOCCE PER MUCOSA ORALE, SOLUZIONE" FLACONE 7,5 ML</t>
  </si>
  <si>
    <t>"0,02% (FLUMETASONE) + 1% (CLIOCHINOLO) GOCCE AURICOLARI, SOLUZIONE"  FLACONE 7,5  ML</t>
  </si>
  <si>
    <t>LOMEVEL</t>
  </si>
  <si>
    <t>" 15 MG CAPSULE RIGIDE GASTRORESISTENTI" 14 CAPSULE IN BLISTER</t>
  </si>
  <si>
    <t>" 30 MG CAPSULE RIGIDE GASTRORESISTENTI" 14 CAPSULE IN BLISTER</t>
  </si>
  <si>
    <t>LOMUDAL</t>
  </si>
  <si>
    <t>ACIDO CROMOGLICICO SALE DISODICO</t>
  </si>
  <si>
    <t>"20 MG/2 ML SOLUZIONE DA NEBULIZZARE" 24 CONTENITORI MONODOSE 2 ML</t>
  </si>
  <si>
    <t>40 MG/ML COLLIRIO, SOLUZIONE" 1 FLACONE 10 ML</t>
  </si>
  <si>
    <t>40MG/ML SPRAY NASALE, SOLUZIONE" 1 FLACONE 30 ML</t>
  </si>
  <si>
    <t>LONARID</t>
  </si>
  <si>
    <t>PARACETAMOLO/CODEINA FOSFATO</t>
  </si>
  <si>
    <t>"400 MG + 10 MG COMPRESSE" 20 COMPRESSE</t>
  </si>
  <si>
    <t>" ADULTI 400 MG + 20 MG SUPPOSTE" 6 SUPPOSTE</t>
  </si>
  <si>
    <t>LONGASTATINA</t>
  </si>
  <si>
    <t>OCTREOTIDE</t>
  </si>
  <si>
    <t>"50 MICROGRAMMI/ML SOLUZIONE INIETTABILE /PER INFUSIONE" 5  FIALE DA 1 ML</t>
  </si>
  <si>
    <t>"500 MICROGRAMMI/ML SOLUZIONE INIETTABILE PER INFUSIONE" 3  FIALE DA 1 ML</t>
  </si>
  <si>
    <t>"100 MICROGRAMMI/ML SOLUZIONE INIETTABILE PER INFUSIONE" 5  FIALE DA 1 ML</t>
  </si>
  <si>
    <t>"1000 MICROGRAMMI/5ML SOLUZIONE INIETTABILE/PER INFUSIONE" 1 FLACONCINO DA 5ML</t>
  </si>
  <si>
    <t>LOPERAMIDE HEXAL</t>
  </si>
  <si>
    <t>LOPERAMIDE CLORIDRATO</t>
  </si>
  <si>
    <t>" 2 MG CAPSULE RIGIDE " 8 CAPSULE</t>
  </si>
  <si>
    <t>LORATADINA TEVA</t>
  </si>
  <si>
    <t>LORATADINA</t>
  </si>
  <si>
    <t>"10 MG COMPRESSE" 7 COMPRESSE IN BLISTER PVC/PVDC/AL</t>
  </si>
  <si>
    <t>LORAZEPAM HEXAL</t>
  </si>
  <si>
    <t>LORAZEPAM</t>
  </si>
  <si>
    <t>"1 MG COMPRESSE RIVESTITE CON FILM " 20 COMPRESSE</t>
  </si>
  <si>
    <t>"2,5 MG COMPRESSE RIVESTITE CON FILM " 20 COMPRESSE</t>
  </si>
  <si>
    <t>LORAZEPAM SUN</t>
  </si>
  <si>
    <t>"1 MG COMPRESSE RIVESTITE CON FILM" 20 COMPRESSE</t>
  </si>
  <si>
    <t>"2,5 MG COMPRESSE RIVESTITE CON FILM" 20 COMPRESSE</t>
  </si>
  <si>
    <t>LORMETAZEPAM SUN</t>
  </si>
  <si>
    <t>LORMETAZEPAM</t>
  </si>
  <si>
    <t>"2,5 MG/ML GOCCE ORALI,SOLUZIONE" FLACONE DA 20 ML</t>
  </si>
  <si>
    <t>LOSALEN</t>
  </si>
  <si>
    <t>FLUMETASONE/ACIDO SALICILICO</t>
  </si>
  <si>
    <t>"0,02% + 1% SOLUZIONE CUTANEA" FLACONE DA 30 ML</t>
  </si>
  <si>
    <t>LOSAPREX</t>
  </si>
  <si>
    <t>LOSARTAN POTASSICO</t>
  </si>
  <si>
    <t>"12,5 MG COMPRESSE RIVESTITE CON FILM"  21 COMPRESSE</t>
  </si>
  <si>
    <t>" 100 MG COMPRESSE RIVESTITE CON FILM " 28 COMPRESSE</t>
  </si>
  <si>
    <t>LOSARTAN ALMUS</t>
  </si>
  <si>
    <t>" 50 MG COMPRESSE RIVESTITE CON FILM " 28 COMPRESSE IN BLISTER PVC/PE/PVDC/AL</t>
  </si>
  <si>
    <t>" 100 MG COMPRESSE RIVESTITE CON FILM " 28 COMPRESSE IN BLISTER PVC/PE/PVDC/AL</t>
  </si>
  <si>
    <t>LOSARTAN AUROBINDO</t>
  </si>
  <si>
    <t>"50 MG COMPRESSE RIVESTITE CON FILM" 28 COMPRESSE IN BLISTER PVC/PE/PVDC-AL</t>
  </si>
  <si>
    <t>"100 MG COMPRESSE RIVESTITE CON FILM" 28 COMPRESSE IN BLISTER PVC/PE/PVDC-AL</t>
  </si>
  <si>
    <t>LOSARTAN E IDROCLOROTIAZIDE AUROBINDO</t>
  </si>
  <si>
    <t>IDROCLOROTIAZIDE + LOSARTAN POTASSICO</t>
  </si>
  <si>
    <t>" 50MG/12,5 MG COMPRESSE RIVESTITE CON FILM " 28 COMPRESSE IN BLISTER PVC/ACLAR/AL</t>
  </si>
  <si>
    <t>" 100MG/25 MG COMPRESSE RIVESTITE CON FILM " 28 COMPRESSE IN BLISTER PVC/ACLAR/AL</t>
  </si>
  <si>
    <t>LOSARTAN E IDROCLOROTIAZIDE KRKA</t>
  </si>
  <si>
    <t>" 50MG/12,5MG COMPRESSE RIVESTITE CON FILM " 28 COMPRESSE IN BLISTER AL/PVC/PVDC</t>
  </si>
  <si>
    <t>LOSARTAN E IDROCLOROTIAZIDE PENSA</t>
  </si>
  <si>
    <t>" 100 MG + 25 MG COMPRESSE RIVESTITE CON FILM " 28 COMPRESSE</t>
  </si>
  <si>
    <t>" 50 MG + 12,5 MG COMPRESSE RIVESTITE CON FILM " 28 COMPRESSE</t>
  </si>
  <si>
    <t>LOSARTAN E IDROCLOROTIAZIDE SUN</t>
  </si>
  <si>
    <t>" 50MG/12,5 MG COMPRESSE RIVESTITE CON FILM " 28 COMPRESSE IN BLISTER PA/AL/PVC/AL</t>
  </si>
  <si>
    <t>" 100MG/25 MG COMPRESSE RIVESTITE CON FILM " 28 COMPRESSE IN BLISTER PA/AL/PVC/AL</t>
  </si>
  <si>
    <t>LOSARTAN EUROGENERICI</t>
  </si>
  <si>
    <t>LOSARTAN IDROCLOROTIAZIDE ALMUS</t>
  </si>
  <si>
    <t>"50 MG+12,5 MG COMPRESSE RIVESTITE CON FILM " 28 COMPRESSE IN BLISTER PVC/PE/PVDC/AL</t>
  </si>
  <si>
    <t>"100 MG+25 MG COMPRESSE RIVESTITE CON FILM " 28 COMPRESSE IN BLISTER PVC/PE/PVDC/AL</t>
  </si>
  <si>
    <t>LOSARTAN IDROCLOROTIAZIDE ALTER</t>
  </si>
  <si>
    <t>"50 MG/12,5 MG COMPRESSE RIVESTITE CON FILM" 28 COMPRESSE IN BLISTER PVC/PE/PVDC/AL</t>
  </si>
  <si>
    <t>"100 MG/25 MG COMPRESSE RIVESTITE CON FILM" 28 COMPRESSE IN BLISTER PVC/PE/PVDC/AL</t>
  </si>
  <si>
    <t>LOSARTAN PENSA</t>
  </si>
  <si>
    <t>" 50 MG COMPRESSE RIVESTITE CON FILM " 28 COMPRESSE RIVESTITE CON FILM IN BLISTER PVC/PE/PVDC/ALU</t>
  </si>
  <si>
    <t>LOSARTAN SUN</t>
  </si>
  <si>
    <t>"50 MG COMPRESSE RIVESTITE CON FILM" 28 COMPRESSE IN BLISTER OPA/AL/PVC/AL</t>
  </si>
  <si>
    <t>"100 MG COMPRESSE RIVESTITE CON FILM" 28 COMPRESSE IN BLISTER OPA/AL/PVC/AL/</t>
  </si>
  <si>
    <t>LOSARTAN ZENTIVA</t>
  </si>
  <si>
    <t>"50 MG COMPRESSE RIVESTITE CON FILM" 28 COMPRESSE IN BLISTER PVC/PE/PVDC/AL</t>
  </si>
  <si>
    <t>LOSARTAN/IDROCLOROTIAZIDE TEVA</t>
  </si>
  <si>
    <t>"100 MG/25 MG COMPRESSE RIVESTITE CON FILM" 28 COMPRESSE IN BLISTER PVC/PVDC/PE/AL</t>
  </si>
  <si>
    <t>LOSAZID</t>
  </si>
  <si>
    <t>"100 MG + 25 MG COMPRESSE RIVESTITE CON FILM" 28 COMPRESSE</t>
  </si>
  <si>
    <t>"50 MG + 12,5 MG COMPRESSE RIVESTITE CON FILM" 28 COMPRESSE</t>
  </si>
  <si>
    <t>LOSEC</t>
  </si>
  <si>
    <t>"10 MG CAPSULE RIGIDE GASTRORESISTENTI" 14 CAPSULE</t>
  </si>
  <si>
    <t>"20 MG CAPSULE RIGIDE GASTRORESISTENTI" 14 CAPSULE</t>
  </si>
  <si>
    <t>LUCENTIS</t>
  </si>
  <si>
    <t>RANIBIZUMAB</t>
  </si>
  <si>
    <t>"10  MG/ML  SOLUZIONE  INIETTABILE  - 0,23 ML SOLUZIONE INIETTABILE IN FLACONCINO (VETRO) USO INTRAVITREO " 1 FLACONCINO CON UN AGO FILTRO + 1 AGO PER INIEZIONE + 1 SIRINGA</t>
  </si>
  <si>
    <t>LUDIOMIL</t>
  </si>
  <si>
    <t>MAPROTILINA CLORIDRATO</t>
  </si>
  <si>
    <t>"50 MG COMPRESSE RIVESTITE CON FILM" 30 COMPRESSE</t>
  </si>
  <si>
    <t>LUKASM</t>
  </si>
  <si>
    <t>MONTELUKAST SODICO</t>
  </si>
  <si>
    <t>PEDIATRICO BLISTER 28 COMPRESSE MASTICABILI 5 MG</t>
  </si>
  <si>
    <t>28 COMPRESSE MASTICABILI IN BLISTER DA 4 MG CON CALENDARIO SETTIMANALE</t>
  </si>
  <si>
    <t>LUMIGAN</t>
  </si>
  <si>
    <t>BIMATOPROST</t>
  </si>
  <si>
    <t>COLLIRIO, SOLUZIONE 1 FLACONE 3 ML</t>
  </si>
  <si>
    <t>ALLERGAN PHARMACEUTICALS IRELAND</t>
  </si>
  <si>
    <t>LYRICA</t>
  </si>
  <si>
    <t>PREGABALIN</t>
  </si>
  <si>
    <t>"200 MG  CAPSULA RIGIDA - USO ORALE" 21 CAPSULE IN BLISTER (PVC/ALU)</t>
  </si>
  <si>
    <t>UPJOHN EESV</t>
  </si>
  <si>
    <t>LYSEEN</t>
  </si>
  <si>
    <t>PRIDINOLO MESILATO</t>
  </si>
  <si>
    <t>"4 MG COMPRESSE"30 COMPRESSE</t>
  </si>
  <si>
    <t>"2 MG/ML SOLUZIONE INIETTABILE" 5 FIALE</t>
  </si>
  <si>
    <t>LYXUMIA</t>
  </si>
  <si>
    <t>LIXISENATIDE  </t>
  </si>
  <si>
    <t>10 MICROGRAMMI + 20 MICROGRAMMI-SOLUZIONE INIETTABILE-USO SOTTOCUTANEO- CARTUCCIA IN PENNA PRERIEMPITA-3 ML-1 PENNA PRERIEMPITA + 1 PENNA PRERIEMPITA</t>
  </si>
  <si>
    <t>MAALOX</t>
  </si>
  <si>
    <t>ALLUMINIO IDROSSIDO + MAGNESIO IDROSSIDO</t>
  </si>
  <si>
    <t>"3,65% + 3,25% SOSPENSIONE ORALE"  FLACONE DA 200 ML</t>
  </si>
  <si>
    <t>"PLUS COMPRESSE MASTICABILI" 12 COMPRESSE</t>
  </si>
  <si>
    <t>MABELIO</t>
  </si>
  <si>
    <t>CEFTOBIPROLE MEDOCARIL</t>
  </si>
  <si>
    <t>"500 MG POLVERE PER CONCENTRATO PER SOLUZIONE PER INFUSIONE" 10 FLACONCINI IN VETRO DA 20 ML</t>
  </si>
  <si>
    <t>CORREVIO</t>
  </si>
  <si>
    <t>MACROGOL SANDOZ</t>
  </si>
  <si>
    <t>MACROGOL 3350</t>
  </si>
  <si>
    <t>"13,8 G POLVERE PER SOLUZIONE ORALE" 20 BUSTINE CARTA/EMA/AL</t>
  </si>
  <si>
    <t>MACRORAL</t>
  </si>
  <si>
    <t>MIOCAMICINA</t>
  </si>
  <si>
    <t>"600 MG COMPRESSE RIVESTITE CON FILM"12 COMPRESSE</t>
  </si>
  <si>
    <t>"250 MG/5 ML GRANULATO PER SOSPENSIONE ORALE"1 FLACONE 120 ML</t>
  </si>
  <si>
    <t>"900 MG GRANULATO PER SOSPENSIONE ORALE"8 BUSTINE</t>
  </si>
  <si>
    <t>MAG 2</t>
  </si>
  <si>
    <t>MAGNESIO PIDOLATO</t>
  </si>
  <si>
    <t>"1,5 G/10 ML SOLUZIONE ORALE" 20 FLACONCINI 10 ML</t>
  </si>
  <si>
    <t>MAGNESIA S. PELLEGRINO</t>
  </si>
  <si>
    <t>MAGNESIO IDROSSIDO</t>
  </si>
  <si>
    <t>"45% POLVERE EFFERVESCENTE" GUSTO LIMONE SCATOLA 15 G</t>
  </si>
  <si>
    <t>"45% POLVERE EFFERVESCENTE" GUSTO MANDARINO FLACONE 100 G</t>
  </si>
  <si>
    <t>MAGNOGRAF</t>
  </si>
  <si>
    <t>ACIDO GADOBENICO SALE DIMEGLUMINICO</t>
  </si>
  <si>
    <t>"469  MG/ML SOLUZIONE INIETTABILE PER USO ENDOVENOSO " 1 FLACONCINO DA 20 ML</t>
  </si>
  <si>
    <t>MANNITOLO EUROSPITAL</t>
  </si>
  <si>
    <t>MANNITOLO</t>
  </si>
  <si>
    <t>"5% SOLUZIONE PER INFUSIONE ENDOVENOSA" 1 FLACONE DA 500 ML</t>
  </si>
  <si>
    <t>MARANZA</t>
  </si>
  <si>
    <t>PARACETAMOLO</t>
  </si>
  <si>
    <t>" 1000 MG GRANULATO EFFERVESCENTE " 12 BUSTINE</t>
  </si>
  <si>
    <t>E-PHARMA TRENTO S.P.A.</t>
  </si>
  <si>
    <t>MARCAINA</t>
  </si>
  <si>
    <t>"5 MG/ML SOLUZIONE INIETTABILE " 5 FIALE 10 ML</t>
  </si>
  <si>
    <t>MARICRIO</t>
  </si>
  <si>
    <t>" 20 MG CAPSULE RIGIDE GASTRORESISTENTI" 14 CAPSULE</t>
  </si>
  <si>
    <t>MASTER-AID DISINFETTANTE</t>
  </si>
  <si>
    <t>CLOREXIDINA DIGLUCONATO</t>
  </si>
  <si>
    <t>"1% SOLUZIONE CUTANEA" FLACONE 250 ML</t>
  </si>
  <si>
    <t>PIETRASANTA PHARMA S.P.A.</t>
  </si>
  <si>
    <t>" 1G/100ML SOLUZIONE CUTANEA "  FLACONE 50 ML</t>
  </si>
  <si>
    <t>MATRIX</t>
  </si>
  <si>
    <t>GALATTUROGLICANO SOLFATO</t>
  </si>
  <si>
    <t>"100 MG/4 ML SOLUZIONE INIETTABILE" 6 FIALE</t>
  </si>
  <si>
    <t>MECLODERM</t>
  </si>
  <si>
    <t>MECLOCICLINA SOLFOSALICILATO</t>
  </si>
  <si>
    <t>"1% CREMA"TUBO 30 G</t>
  </si>
  <si>
    <t>MEDINITALY PHARMA PROGRESS S.R.L.</t>
  </si>
  <si>
    <t>"35 MG OVULI"15 OVULI</t>
  </si>
  <si>
    <t>MECLODERM F</t>
  </si>
  <si>
    <t>FLUOCINOLONE ACETONIDE/MECLOCICLINA</t>
  </si>
  <si>
    <t>"1% + 0,025% CREMA"TUBO 30 G</t>
  </si>
  <si>
    <t>MELFALAN TILLOMED</t>
  </si>
  <si>
    <t>"50 MG POLVERE E SOLVENTE PER SOLUZIONE INIETTABILE E PER INFUSIONE" 1 FLACONCINO POLVERE + 1 FLACONCINO SOLVENTE</t>
  </si>
  <si>
    <t>MELOXICAM HEXAL</t>
  </si>
  <si>
    <t>MELOXICAM</t>
  </si>
  <si>
    <t>"15 MG COMPRESSE" 30 COMPRESSE IN BLISTER PVC/PVDC/AL</t>
  </si>
  <si>
    <t>MELOXICAM MYLAN GENERICS</t>
  </si>
  <si>
    <t>"7.5 MG COMPRESSE" 10 COMPRESSE IN BLISTER PVC/PVDC/AL</t>
  </si>
  <si>
    <t>MEMANTINA LEK</t>
  </si>
  <si>
    <t>MEMANTINA CLORIDRATO</t>
  </si>
  <si>
    <t>10 MG - COMPRESSA RIVESTITA CON FILM - USO ORALE - BLISTER (PVC/PVDC/ALU) - 56 COMPRESSE</t>
  </si>
  <si>
    <t>PHARMATHEN S.A.</t>
  </si>
  <si>
    <t>20 MG - COMPRESSA RIVESTITA CON FILM - USO ORALE - BLISTER (PVC/PVDC/ALU) - 28 COMPRESSE</t>
  </si>
  <si>
    <t>MEMANTINA SANDOZ</t>
  </si>
  <si>
    <t>"10 MG COMPRESSE RIVESTITE CON FILM" 56 COMPRESSE IN BLISTER PVC/PVDC/AL</t>
  </si>
  <si>
    <t>"20 MG COMPRESSE RIVESTITE CON FILM" 28 COMPRESSE IN BLISTER PVC/PVDC/AL</t>
  </si>
  <si>
    <t>MENADERM</t>
  </si>
  <si>
    <t>BECLOMETASONE/NEOMICINA</t>
  </si>
  <si>
    <t>"0,025% + 0,5% SOLUZIONE CUTANEA" FLACONE 30 G</t>
  </si>
  <si>
    <t>MEPIVACAINA RECORDATI</t>
  </si>
  <si>
    <t>MEPIVACAINA CLORIDRATO</t>
  </si>
  <si>
    <t>20 MG/ML SOLUZIONE INIETTABILE - 10 FIALE DA 5 ML</t>
  </si>
  <si>
    <t>MESALAZINA EUROGENERICI</t>
  </si>
  <si>
    <t>"10% GEL RETTALE " 20 CONTENITORI MONODOSE</t>
  </si>
  <si>
    <t>METAKELFIN</t>
  </si>
  <si>
    <t>SULFAMETOPIRAZINA/PIRIMETAMINA</t>
  </si>
  <si>
    <t>"500 MG + 25 MG COMPRESSE" 10 COMPRESSE</t>
  </si>
  <si>
    <t>METASTRON</t>
  </si>
  <si>
    <t>STRONZIO 89SR CLORURO</t>
  </si>
  <si>
    <t>"150 MBEQUEREL/4 ML SOLUZIONE INIETTABILE"1 FIALA  4 ML</t>
  </si>
  <si>
    <t>GE HEALTHCARE S.R.L.</t>
  </si>
  <si>
    <t>METEOSIM</t>
  </si>
  <si>
    <t>DIMETICONE</t>
  </si>
  <si>
    <t>"40 MG COMPRESSE MASTICABILI" 50 COMPRESSE</t>
  </si>
  <si>
    <t>METFORMINA AUROBINDO</t>
  </si>
  <si>
    <t>METFORMINA CLORIDRATO</t>
  </si>
  <si>
    <t>"500 MG COMPRESSE RIVESTITE CON FILM" 50 COMPRESSE IN BLISTER PVC/PVDC/AL</t>
  </si>
  <si>
    <t>"850 MG COMPRESSE RIVESTITE CON FILM" 40 COMPRESSE IN BLISTER PVC/PVDC/AL</t>
  </si>
  <si>
    <t>METFORMINA EUROGENERICI</t>
  </si>
  <si>
    <t>"500 MG COMPRESSE RIVESTITE CON FILM" 30 COMPRESSE IN BLISTER CHIARO PVC/AL</t>
  </si>
  <si>
    <t>"850 MG COMPRESSE RIVESTITE CON FILM" 40 COMPRESSE IN BLISTER CHIARO PVC/AL</t>
  </si>
  <si>
    <t>"500 MG COMPRESSE RIVESTITE CON FILM" 50 COMPRESSE IN BLISTER CHIARO PVC/AL</t>
  </si>
  <si>
    <t>"850 MG COMPRESSE RIVESTITE CON FILM" 30 COMPRESSE IN BLISTER CHIARO PVC/AL</t>
  </si>
  <si>
    <t>METFORMINA MYLAN ITALIA</t>
  </si>
  <si>
    <t>"500 MG CONPRESSE RIVESTIVE CON FILM" 50 COMPRESSE IN BLISTER PVC/PVDC/AL</t>
  </si>
  <si>
    <t>"850 MG CONPRESSE RIVESTIVE CON FILM" 40 COMPRESSE IN BLISTER PVC/PVDC/AL</t>
  </si>
  <si>
    <t>METHOTREXATE</t>
  </si>
  <si>
    <t>METOTREXATO SODICO</t>
  </si>
  <si>
    <t>"500 MG/20 ML SOLUZIONE INIETTABILE" 1 FLACONE DA 20 ML</t>
  </si>
  <si>
    <t>"1 G/10 ML SOLUZIONE INIETTABILE" 1 FLACONE DA 10 ML</t>
  </si>
  <si>
    <t>"5 G/50 ML SOLUZIONE INIETTABILE" 1 FLACONE DA 50 ML</t>
  </si>
  <si>
    <t>"1 G POLVERE PER SOLUZIONE INIETTABILE" 1 FLACONE</t>
  </si>
  <si>
    <t>METOCAL</t>
  </si>
  <si>
    <t>CALCIO CARBONATO</t>
  </si>
  <si>
    <t>60 CPR MASTICABILI 1250 MG</t>
  </si>
  <si>
    <t>METOPROLOLO ARISTO</t>
  </si>
  <si>
    <t>METOPROLOLO TARTRATO</t>
  </si>
  <si>
    <t>" 200 MG COMPRESSE A RILASCIO PROLUNGATO " 28 COMPRESSE</t>
  </si>
  <si>
    <t>ARISTO PHARMA GMBH</t>
  </si>
  <si>
    <t>METOPROLOLO AUROBINDO</t>
  </si>
  <si>
    <t>METOPROLOLO</t>
  </si>
  <si>
    <t>"100 MG COMPRESSE RIVESTITE CON FILM" 50 COMPRESSE IN BLISTER PVC/PVDC/AL</t>
  </si>
  <si>
    <t>METOPROLOLO HEXAL</t>
  </si>
  <si>
    <t>METOTREXATO ACCORD</t>
  </si>
  <si>
    <t>METOTREXATO</t>
  </si>
  <si>
    <t>"25 MG/MLM SOLUZIONE INIETTABILE" 1 FLACONCINO IN VETRO DA 2 ML</t>
  </si>
  <si>
    <t>"25 MG/MLM SOLUZIONE INIETTABILE" 1 FLACONCINO IN VETRO DA 20 ML</t>
  </si>
  <si>
    <t>METOTREXATO DOC GENERICI</t>
  </si>
  <si>
    <t>"7,5MG SOLUZIONE INIETTABILE IN SIRINGA PRERIEMPITA" 4 SIRINGHE PRERIEMPITE DA 7,5MG/0,30ML CON TAMPONE IMBEVUTO CON ALCOL</t>
  </si>
  <si>
    <t>"17,5MG SOLUZIONE INIETTABILE IN SIRINGA PRERIEMPITA" 4 SIRINGHE PRERIEMPITE DA 17,5MG/0,44ML CON TAMPONE IMBEVUTO CON ALCOL</t>
  </si>
  <si>
    <t>MICLAST</t>
  </si>
  <si>
    <t>"1% EMULSIONE CUTANEA" FLACONE DA 30 G</t>
  </si>
  <si>
    <t>MICOFENOLATO  MOFETILE  AUROBINDO</t>
  </si>
  <si>
    <t>MICOFENOLATO MOFETILE</t>
  </si>
  <si>
    <t>"250 MG CAPSULE RIGIDE" 100 CAPSULE RIGIDE IN BLISTER PVC/PVDC/AL</t>
  </si>
  <si>
    <t>MICOFENOLATO MOFETILE ACCORD</t>
  </si>
  <si>
    <t>"250 MG CAPSULE RIGIDE" 100 CAPSULE IN BLISTER PVC/PVDC/AL</t>
  </si>
  <si>
    <t>MICROPAM</t>
  </si>
  <si>
    <t>"5 MG/2,5 ML SOLUZIONE RETTALE" 4 CONTENITORI MONODOSE</t>
  </si>
  <si>
    <t>"10  MG/2,5  ML  SOLUZIONE  RETTALE"  4  CONTENITORI_x000D_
    MONODOSE</t>
  </si>
  <si>
    <t>MIDAZOLAM ACCORD HEALTHCARE</t>
  </si>
  <si>
    <t>"1 MG/ML SOLUZIONE INIETTABILE O PER INFUSIONE" 10 FIALE DA 5 ML</t>
  </si>
  <si>
    <t>"5 MG/ML SOLUZIONE INIETTABILE O PER INFUSIONE" 10 FIALE DA 1 ML</t>
  </si>
  <si>
    <t>"5 MG/ML SOLUZIONE INIETTABILE O PER INFUSIONE" 10 FIALE DA 3 ML</t>
  </si>
  <si>
    <t>"5 MG/ML SOLUZIONE INIETTABILE O PER INFUSIONE" 1 FIALA DA 10 ML</t>
  </si>
  <si>
    <t>MIDAZOLAM BIOINDUSTRIA LIM</t>
  </si>
  <si>
    <t>" 5 MG/ ML SOLUZIONE INIETTABILE " 10 FIALE DA 1 ML</t>
  </si>
  <si>
    <t>BIOINDUSTRIA LABORATORIO ITALIANO MEDICINALI S.P.A.</t>
  </si>
  <si>
    <t>" 15 MG/ 3 ML SOLUZIONE INIETTABILE " 5 FIALE DA 3 ML</t>
  </si>
  <si>
    <t>MIFEGYNE</t>
  </si>
  <si>
    <t>MIFEPRISTONE</t>
  </si>
  <si>
    <t>"200 MG COMPRESSE" 1 COMPRESSA IN BLISTER PVC/AL</t>
  </si>
  <si>
    <t>NORDIC GROUP BV</t>
  </si>
  <si>
    <t>MIFLO</t>
  </si>
  <si>
    <t>"200 MCG SOLUZIONE PRESSURIZZATA PER INALAZIONE" CONTENITORE SOTTO PRESSIONE 200 EROGAZIONI CON EROGATORE STANDARD</t>
  </si>
  <si>
    <t>MIFLONIDE</t>
  </si>
  <si>
    <t>200 MCG 120 CAPSULE POLVERE PER INALAZIONE IN BLISTER CON INALATORE</t>
  </si>
  <si>
    <t>400 MCG 60 CAPSULE POLVERE PER INALAZIONE IN BLISTER CON INALATORE</t>
  </si>
  <si>
    <t>"400 MCG POLVERE PER INALAZIONE, CAPSULE RIGIDE" 60 CAPSULE IN BLISTER PVC/PVDC-AL CON 1 INALATORE</t>
  </si>
  <si>
    <t>MIGLUSTAT GEN.ORPH</t>
  </si>
  <si>
    <t>MIGLUSTAT</t>
  </si>
  <si>
    <t>100 MG - CAPSULA, RIGIDA - USO ORALE - BLISTER (OPA/ALLU/PVC) - 84 CAPSULE</t>
  </si>
  <si>
    <t>GEN.ORPH S.A.S.</t>
  </si>
  <si>
    <t>MINIRIN/DDAVP</t>
  </si>
  <si>
    <t>"0,1 MG/ML GOCCE NASALI, SOLUZIONI"FLACONE 2,5 ML</t>
  </si>
  <si>
    <t>FERRING S.P.A.</t>
  </si>
  <si>
    <t>MIOCAMEN</t>
  </si>
  <si>
    <t>"250 MG/5 ML GRANULATO PER SOSPENSIONE ORALE" 1 FLACONE 120 ML</t>
  </si>
  <si>
    <t>"900 MG GRANULATO PER SOSPENSIONE ORALE" 8 BUSTINE</t>
  </si>
  <si>
    <t>MIOKACIN</t>
  </si>
  <si>
    <t>F.I.R.M.A. S.P.A.</t>
  </si>
  <si>
    <t>MIOLENE</t>
  </si>
  <si>
    <t>RITODRINA CLORIDRATO</t>
  </si>
  <si>
    <t>"50 MG/5 ML SOLUZIONE PER INFUSIONE "3 FIALE DA 5 ML</t>
  </si>
  <si>
    <t>MIOREXIL</t>
  </si>
  <si>
    <t>TIOCOLCHICOSIDE</t>
  </si>
  <si>
    <t>" 4 MG SOLUZIONE INIETTABILE PER USO INTRAMUSCOLARE " 6 FIALE 2 ML</t>
  </si>
  <si>
    <t>MIRTAZAPINA AUROBINDO</t>
  </si>
  <si>
    <t>MIRVASO</t>
  </si>
  <si>
    <t>BRIMONIDINA TARTRATO</t>
  </si>
  <si>
    <t>3MG/G - GEL  - USO CUTANEO - TUBO (PE/COPOLIMERO EAA/AL/COPOLIMERO EAA/PE) 2 G - 1 TUBO</t>
  </si>
  <si>
    <t>GALDERMA INTERNATIONAL</t>
  </si>
  <si>
    <t>3MG/G - GEL  - USO CUTANEO - TUBO (PE/COPOLIMERO EAA/AL/COPOLIMERO EAA/PE) 10 G - 1 TUBO</t>
  </si>
  <si>
    <t>MISOFENAC</t>
  </si>
  <si>
    <t>DICLOFENAC SODICO + MISOPROSTOLO</t>
  </si>
  <si>
    <t>"50 MG + 200 MCG COMPRESSE" 30 COMPRESSE</t>
  </si>
  <si>
    <t>"75 COMPRESSE  A RILASCIO MODIFICATO"10 COMPRESSE  DA 75 MG + 200 MCG IN BLISTER AL</t>
  </si>
  <si>
    <t>MISOONE</t>
  </si>
  <si>
    <t>MISOPROSTOLO</t>
  </si>
  <si>
    <t>"400 MICROGRAMMI COMPRESSE" 16 COMPRESSE IN BLISTER PVC/PCTFE/AL MONODOSE</t>
  </si>
  <si>
    <t>"400 MICROGRAMMI COMPRESSE" 1 COMPRESSA IN BLISTER OPA/AL/PVC/AL</t>
  </si>
  <si>
    <t>MITOMICINA MEDAC</t>
  </si>
  <si>
    <t>MITOMICINA</t>
  </si>
  <si>
    <t>"1 MG/ML POLVERE PER SOLUZIONE INIETTABILE O ENDOVESCICALE O PER INFUSIONE" 1 FLACONCINO IN VETRO DA 10 MG</t>
  </si>
  <si>
    <t>"1 MG/ML POLVERE PER SOLUZIONE INIETTABILE O ENDOVESCICALE O PER INFUSIONE" 1 FLACONCINO IN VETRO DA 40 MG</t>
  </si>
  <si>
    <t>MITOMYCIN C</t>
  </si>
  <si>
    <t>"10 MG POLVERE PER SOLUZIONE INIETTABILE"1 FLACONE</t>
  </si>
  <si>
    <t>Si prega di fare riferimento al seguente comunicato: https://www.aifa.gov.it/en/web/guest/-/aggiornamento-sulla-carenza-del-farmaco-mitomycin--1</t>
  </si>
  <si>
    <t>"40 MG POLVERE PER SOLUZIONE ENDOVESCICALE"1 FLACONE</t>
  </si>
  <si>
    <t>Si rilascia autorizzazione all’importazione alle strutture sanitarie per analogo autorizzato all’estero, qualora non risultasse disponibile l’analogo autorizzato in Italia</t>
  </si>
  <si>
    <t>MITOXANTRONE ACCORD</t>
  </si>
  <si>
    <t>MITOXANTRONE CLORIDRATO</t>
  </si>
  <si>
    <t>"2 MG/ML CONCENTRATO PER SOLUZIONE PER INFUSIONE" 1 FLACONCINO IN VETRO DA 10 ML</t>
  </si>
  <si>
    <t>MIVACRON</t>
  </si>
  <si>
    <t>MIVACURIO CLORURO</t>
  </si>
  <si>
    <t>"2 MG/ML SOLUZIONE INIETTABILE PER USO ENDOVENOSO" 5 FIALE DA 10 ML</t>
  </si>
  <si>
    <t>MOBIC</t>
  </si>
  <si>
    <t>"7,5" 10 COMPRESSE 7,5 MG</t>
  </si>
  <si>
    <t>BOEHRINGER INGELHEIM INTERNATIONAL GMBH</t>
  </si>
  <si>
    <t>MODERIBA</t>
  </si>
  <si>
    <t>"200 MG COMPRESSE RIVESTITE CON FILM" 168 COMPRESSE IN FLACONE HDPE CON CHIUSURA A PROVA DI BAMBINO</t>
  </si>
  <si>
    <t>"400 MG COMPRESSE RIVESTITE CON FILM" 56 COMPRESSE IN FLACONE HDPE CON CHIUSURA A PROVA DI BAMBINO</t>
  </si>
  <si>
    <t>MODIVID</t>
  </si>
  <si>
    <t>CEFODIZIME</t>
  </si>
  <si>
    <t>"1 G/4 ML POLVERE E SOLVENTE PER SOLUZIONE INIETTABILE " 1 FLACONE + 1 FIALA SOLVENTE DA 4 ML</t>
  </si>
  <si>
    <t>MOLAXOLE</t>
  </si>
  <si>
    <t>MACROGOL 3350 + POTASSIO CLORURO + SODIO BICARBONATO + SODIO CLORURO</t>
  </si>
  <si>
    <t>"POLVERE PER SOLUZIONE ORALE" 20 BUSTINE</t>
  </si>
  <si>
    <t>MOMENDOL</t>
  </si>
  <si>
    <t>" 220 MG GRANULATO PER SOLUZIONE ORALE " 12 BUSTINE</t>
  </si>
  <si>
    <t>MOMENT</t>
  </si>
  <si>
    <t>" 200 MG COMPRESSE RIVESTITE " 6 COMPRESSE</t>
  </si>
  <si>
    <t>MOMENTACT</t>
  </si>
  <si>
    <t>"400 MG COMPRESSE RIVESTITE CON FILM" 6 COMPRESSE</t>
  </si>
  <si>
    <t>MONOKET</t>
  </si>
  <si>
    <t>"50 MG CAPSULE A RILASCIO PROLUNGATO" 30 CAPSULE</t>
  </si>
  <si>
    <t>MONOPROST</t>
  </si>
  <si>
    <t>"50 MCG/ML COLLIRIO, SOLUZIONE" 30 CONTENITORI MONODOSE DA 0,2 ML</t>
  </si>
  <si>
    <t>MONTELUKAST AUROBINDO PHARMA ITALIA</t>
  </si>
  <si>
    <t>"5 MG COMPRESSE MASTICABILI" 28 COMPRESSE IN BLISTER PVC/PA/AL/PVC</t>
  </si>
  <si>
    <t>MONTELUKAST SUN</t>
  </si>
  <si>
    <t>"10 MG COMPRESSE RIVESTITE CON FILM" 28 COMPRESSE IN BLISTER PA/AL/PVC/AL</t>
  </si>
  <si>
    <t>MORFINA CLORIDRATO MOLTENI</t>
  </si>
  <si>
    <t>MORFINA CLORIDRATO</t>
  </si>
  <si>
    <t>"10 MG/ML SOLUZIONE INIETTABILE" 5 FIALE1 ML</t>
  </si>
  <si>
    <t>L. MOLTENI &amp; C. DEI F.LLI ALITTI SOCIETA' DI ESERCIZIO S.P.A.</t>
  </si>
  <si>
    <t>"20 MG/ML SOLUZIONE INIETTABILE" 5 FIALE 1 ML</t>
  </si>
  <si>
    <t>"10 MG/ML SOLUZIONE INIETTABILE" 1 FIALA 1 ML</t>
  </si>
  <si>
    <t>"20 MG/ML SOLUZIONE INIETTABILE" 1 FIALA 1 ML</t>
  </si>
  <si>
    <t>"50 MG/5 ML SOLUZIONE INIETTABILE"  1 FIALA 5 ML</t>
  </si>
  <si>
    <t>MOTILEX</t>
  </si>
  <si>
    <t>CLEBOPRIDE MALATO ACIDO</t>
  </si>
  <si>
    <t>"1 MG/2 ML SOLUZIONE INIETTABILE" 6 FIALE DA 2 ML</t>
  </si>
  <si>
    <t>ALMIRALL S.A.</t>
  </si>
  <si>
    <t>"0,5 MG/5 ML SCIROPPO"1 FLACONE 120 ML</t>
  </si>
  <si>
    <t>MOTILIUM</t>
  </si>
  <si>
    <t>DOMPERIDONE</t>
  </si>
  <si>
    <t>"10 MG GRANULATO EFFERVESCENTE" 30 BUSTINE</t>
  </si>
  <si>
    <t>JANSSEN CILAG S.P.A.</t>
  </si>
  <si>
    <t>MOVICOL</t>
  </si>
  <si>
    <t>1-({(5S,7S)-3-[5-(1-Hydroxy-1-methylethyl)-2-pyrazinyl]-7-methyl-2-oxo-1oxa-3-azaspiro[4.5]dec-7-yl}methyl)-1H-benzimidazole-6-carbonitrile + MACROGOL 3350 + POTASSIO CLORURO + SODIO CLORURO</t>
  </si>
  <si>
    <t>"13,7 G POLVERE PER SOLUZIONE ORALE SENZA AROMA" 20 BUSTINE LDPE/AL/LDPE/CARTA</t>
  </si>
  <si>
    <t>NORGINE ITALIA S.R.L.</t>
  </si>
  <si>
    <t>MUCOCIS</t>
  </si>
  <si>
    <t>"BAMBINI 20 MG/ML  SCIROPPO" FLACONE DA 200 ML</t>
  </si>
  <si>
    <t>MUCOLASE</t>
  </si>
  <si>
    <t>50 MG/ML SCIROPPO- FLACONE DA 200 ML</t>
  </si>
  <si>
    <t>LAMPUGNANI FARMACEUTICI SPA</t>
  </si>
  <si>
    <t>MUNDOSON</t>
  </si>
  <si>
    <t>"1MG/G CREMA" 1 TUBO IN PE/AL DA 30 G</t>
  </si>
  <si>
    <t>ALMIRALL HERMAL GMBH</t>
  </si>
  <si>
    <t>"1MG/G CREMA" 1 TUBO IN PE/AL DA 35 G</t>
  </si>
  <si>
    <t>MUNDOSON FLUIDO</t>
  </si>
  <si>
    <t>"1MG/G EMULSIONE CUTANEA" 30 G IN FLACONE HDPE</t>
  </si>
  <si>
    <t>MUPISKIN</t>
  </si>
  <si>
    <t>MUPIROCINA</t>
  </si>
  <si>
    <t>"2% UNGUENTO" 1 TUBO DA 15 G</t>
  </si>
  <si>
    <t>MUSCORIL CONTRATTURE E DOLORE</t>
  </si>
  <si>
    <t>"2,5 MG/G CREMA" TUBO DA 30 G</t>
  </si>
  <si>
    <t>MYMARIGOLD</t>
  </si>
  <si>
    <t>"20 MCG/75 MCG COMPRESSE RIVESTITE" 1X21 COMPRESSE IN BLISTER PVC/AL</t>
  </si>
  <si>
    <t>N-ACETILCISTEINA GERMED</t>
  </si>
  <si>
    <t>"600 MG COMPRESSE EFFERVESCENTI" 20 COMPRESSE</t>
  </si>
  <si>
    <t>NALCROM</t>
  </si>
  <si>
    <t>"100 MG CAPSULE RIGIDE" 20 CAPSULE</t>
  </si>
  <si>
    <t>ITALCHIMICI S.P.A.</t>
  </si>
  <si>
    <t>"250 MG GRANULATO PER SOLUZIONE ORALE"  12 BUSTINE</t>
  </si>
  <si>
    <t>"500 MG GRANULATO PER SOLUZIONE ORALE" 6 BUSTINE</t>
  </si>
  <si>
    <t>" 250 MG GRANULATO PER SOLUZIONE ORALE " 24 BUSTINE</t>
  </si>
  <si>
    <t>" 500 MG GRANULATO PER SOLUZIONE ORALE " 24 BUSTINE</t>
  </si>
  <si>
    <t>NALOXONE CLORIDRATO MOLTENI</t>
  </si>
  <si>
    <t>NALOXONE CLORIDRATO</t>
  </si>
  <si>
    <t>"BAMBINI 0,04 MG/2 ML SOLUZIONE INIETTABILE" 1 FIALA DA 2 ML</t>
  </si>
  <si>
    <t>NALOXONE CLORIDRATO PFIZER</t>
  </si>
  <si>
    <t>"ADULTI 0,4 MG/1 ML SOLUZIONE INIETTABILE" 1 FIALA 1 ML</t>
  </si>
  <si>
    <t>NALOXONE CLORIDRATO S.A.L.F.</t>
  </si>
  <si>
    <t>"BAMBINI 0,04 MG/2 ML SOLUZIONE INIETTABILE" 5 FIALE 2 ML</t>
  </si>
  <si>
    <t>NANOCOLL</t>
  </si>
  <si>
    <t>ALACEPRIL</t>
  </si>
  <si>
    <t>"0,5 MG KIT PER PREPARAZIONE RADIOFARMACEUTICA" 5 FLACONCINI MULTIDOSE DA 10 ML</t>
  </si>
  <si>
    <t>NAPROXENE SODICO DOC GENERICI</t>
  </si>
  <si>
    <t>"550 MG COMPRESSE RIVESTITE" 30 COMPRESSE</t>
  </si>
  <si>
    <t>NAPROXENE SODICO DOROM</t>
  </si>
  <si>
    <t>"550 MG CAPSULE RIGIDE" 30 CAPSULE</t>
  </si>
  <si>
    <t>NAROPINA</t>
  </si>
  <si>
    <t>ROPIVACAINA CLORIDRATO MONOIDRATO</t>
  </si>
  <si>
    <t>"2" 5 POLYBAG 2 MG/ML 100 ML BLISTER</t>
  </si>
  <si>
    <t>"5 MG/ML SOLUZIONE INIETTABILE " 5 FIALE POLYAMP DA 10 ML</t>
  </si>
  <si>
    <t>NASVICAL</t>
  </si>
  <si>
    <t>" 30  MG/ ML SOLUZIONE INIETTABILE " 3  FIALE</t>
  </si>
  <si>
    <t>NEBICINA</t>
  </si>
  <si>
    <t>TOBRAMICINA SOLFATO</t>
  </si>
  <si>
    <t>"100 MG/2 ML SOLUZIONE INIETTABILE" FLACONE DA 2 ML</t>
  </si>
  <si>
    <t>"20 MG/2 ML SOLUZIONE INIETTABILE" FLACONE DA 2 ML</t>
  </si>
  <si>
    <t>NEBID</t>
  </si>
  <si>
    <t>"1000 MG/4 ML SOLUZIONE INIETTABILE USO INTRAMUSCOLARE" 1 FIALA DI VETRO DA 4 ML</t>
  </si>
  <si>
    <t>NEBIVOLOLO AUROBINDO ITALIA</t>
  </si>
  <si>
    <t>"5 MG COMPRESSE" 28 COMPRESSE IN BLISTER PVC-AL</t>
  </si>
  <si>
    <t>NEBIVOLOLO E IDROCLOROTIAZIDE MYLAN PHARMA</t>
  </si>
  <si>
    <t>"5 MG/12,5 MG COMPRESSE RIVESTITE CON FILM" 28 COMPRESSE IN BLISTER PVC/ACLAR/PVC/AL</t>
  </si>
  <si>
    <t>"5 MG/25 MG COMPRESSE RIVESTITE CON FILM" 28 COMPRESSE IN BLISTER PVC/ACLAR/PVC/AL</t>
  </si>
  <si>
    <t>NEBIVOLOLO PENSA</t>
  </si>
  <si>
    <t>NEBIVOLOLO</t>
  </si>
  <si>
    <t>" 5 MG COMPRESSE " 28 COMPRESSE IN BLISTER PVC/PE/PVDC//AL</t>
  </si>
  <si>
    <t>NEBIVOLOLO SUN</t>
  </si>
  <si>
    <t>"5 MG COMPRESSE" 28 COMPRESSE IN BLISTER PVC/PE/PVDC/AL</t>
  </si>
  <si>
    <t>NEMALIN</t>
  </si>
  <si>
    <t>GENTAMICINA SOLFATO</t>
  </si>
  <si>
    <t>" 0,1% CREMA " TUBO 30 G</t>
  </si>
  <si>
    <t>VALETUDO S.R.L.</t>
  </si>
  <si>
    <t>NEO BOROCILLINA</t>
  </si>
  <si>
    <t>DICLOROFENILCARBINOLO/SODIO BENZOATO</t>
  </si>
  <si>
    <t>"1,2  MG  +  20  MG  PASTIGLIE"  20  PASTIGLIE   IN   BLISTER PVC-PE-PVDC/AL</t>
  </si>
  <si>
    <t>"1,2 MG + 20 MG PASTIGLIE SENZA ZUCCHERO" 20 PASTIGLIE IN BLISTER PVC-PE-PVDC/AL</t>
  </si>
  <si>
    <t>DICLOROFENILCARBINOLO/ACIDO ASCORBICO</t>
  </si>
  <si>
    <t>"1,2 MG + 70 MG PASTIGLIE CON VITAMINA C SENZA ZUCCHERO" 20 PASTIGLIE IN BLISTER PVC-PE-PVDC/AL</t>
  </si>
  <si>
    <t>NEO BOROCILLINA ANTISETTICO OROFARINGEO</t>
  </si>
  <si>
    <t>ALCOOL BENZILICO/SODIO BENZOATO</t>
  </si>
  <si>
    <t>"6,4 MG + 52 MG PASTIGLIE GUSTO MENTOLO EUCALIPTOLO" 20 PASTIGLIE</t>
  </si>
  <si>
    <t>"6,4 MG + 52 MG PASTIGLIE GUSTO ARANCIA" 20 PASTIGLIE</t>
  </si>
  <si>
    <t>"6,4 MG + 52 MG PASTIGLIE GUSTO MIELE LIMONE" 20 PASTIGLIE</t>
  </si>
  <si>
    <t>NEO BOROCILLINA INFLUENZA E RAFFREDDORE</t>
  </si>
  <si>
    <t>NEO BOROCILLINA RAFFREDDORE E FEBBRE</t>
  </si>
  <si>
    <t>PARACETAMOLO + PSEUDOEFEDRINA</t>
  </si>
  <si>
    <t>"500 MG/60 MG COMPRESSE EFFERVESCENTI" 8 COMPRESSE</t>
  </si>
  <si>
    <t>"500 MG/60 MG COMPRESSE EFFERVESCENTI" 16 COMPRESSE</t>
  </si>
  <si>
    <t>NEO CIBALGINA</t>
  </si>
  <si>
    <t>PARACETAMOLO/ACIDO ACETILSALICILICO/CAFFEINA</t>
  </si>
  <si>
    <t>NEO FORMITROL</t>
  </si>
  <si>
    <t>"1 MG COMPRESSE OROSOLUBILI" 20 COMPRESSE SENZA ZUCCHERO</t>
  </si>
  <si>
    <t>NEORECORMON</t>
  </si>
  <si>
    <t>EPOETINA BETA</t>
  </si>
  <si>
    <t>50000 UI MULTIDOSE POLVERE INIETTABILE+SOLVENTE USO PARENTERALE 1 FIALA  E 1 FLACONE SOLVENTE SC-IV</t>
  </si>
  <si>
    <t>2000 IU/0,3 ML SOLUZIONE INIETTABILE 1 SIRINGA PRERIEMPITA SC-IV</t>
  </si>
  <si>
    <t>3000 IU/0,3 ML SOLUZIONE INIETTABILE 1 SIRINGA PRERIEMPITA SC-IV</t>
  </si>
  <si>
    <t>5000 IU/0,3 ML SOLUZIONE INIETTABILE 1 SIRINGA PRERIEMPITA SC-IV</t>
  </si>
  <si>
    <t>4000 UI  SOLUZIONE PER INIEZIONE 1 SIRINGA PRERIEMPITA DI VETRO USO EV/SC</t>
  </si>
  <si>
    <t>6000 UI  SOLUZIONE PER INIEZIONE 1 SIRINGA PRERIEMPITA DI VETRO USO EV/SC</t>
  </si>
  <si>
    <t>NEPITUSS</t>
  </si>
  <si>
    <t>NEPINALONE CLORIDRATO</t>
  </si>
  <si>
    <t>GOCCE 1% FLACONE 30 ML</t>
  </si>
  <si>
    <t>SCIROPPO 0,1% FLACONE 200 ML</t>
  </si>
  <si>
    <t>NERISONA</t>
  </si>
  <si>
    <t>DIFLUCORTOLONE VALERATO</t>
  </si>
  <si>
    <t>"0,3 % CREMA IDROFOBA"TUBO 20 G</t>
  </si>
  <si>
    <t>NEUPRO</t>
  </si>
  <si>
    <t>ROTIGOTINA</t>
  </si>
  <si>
    <t>2 MG/24 H CEROTTO TRANSDERMICO 7 CEROTTI TRANDERMICI IN BUSTINA</t>
  </si>
  <si>
    <t>4 MG/24 H CEROTTO TRANSDERMICO 7 CEROTTI TRANDERMICI IN BUSTINA</t>
  </si>
  <si>
    <t>6 MG/24 H CEROTTO TRANSDERMICO 7 CEROTTI TRANDERMICI IN BUSTINA</t>
  </si>
  <si>
    <t>8 MG/24 H CEROTTO TRANSDERMICO 7 CEROTTI TRANDERMICI IN BUSTINA</t>
  </si>
  <si>
    <t>NEUTROSE S. PELLEGRINO</t>
  </si>
  <si>
    <t>CALCIO CARBONATO/MAGNESIO CARBONATO BASICO LEGGERO/CAOLINO PESANTE/MAGNESIO TRISILICATO</t>
  </si>
  <si>
    <t>"COMPRESSE MASTICABILI" 42 COMPRESSE</t>
  </si>
  <si>
    <t>NICETILE</t>
  </si>
  <si>
    <t>LEVOACETILCARNITINA CLORIDRATO</t>
  </si>
  <si>
    <t>"308 MG/ML POLVERE PER SOLUZIONE ORALE" 1 FLACONE DA 40 ML + SIRINGA PER SOMMINISTRAZIONE ORALE</t>
  </si>
  <si>
    <t>NIFEDIPINA DOC</t>
  </si>
  <si>
    <t>"30 MG COMPRESSE A RILASCIO PROLUNGATO"14 COMPRESSE</t>
  </si>
  <si>
    <t>NIFEDIPINA MYLAN GENERICS ITALIA</t>
  </si>
  <si>
    <t>"60 MG COMPRESSE RIVESTITE A  RILASCIO PROLUNGATO" 28 COMPRESSE IN BLISTER PVC/PVDC/AL</t>
  </si>
  <si>
    <t>NIFURATEL FARMITALIA</t>
  </si>
  <si>
    <t>NIFURATEL</t>
  </si>
  <si>
    <t>"200 MG COMPRESSE RIVESTITE" 20 COMPRESSE</t>
  </si>
  <si>
    <t>NIMBEX</t>
  </si>
  <si>
    <t>"2" 5 FIALE DA 2,5 ML 2 MG/ML</t>
  </si>
  <si>
    <t>Elevata richiesta: distribuzione contingentata</t>
  </si>
  <si>
    <t>"2" 5 FIALE DA 5 ML 2 MG/ML</t>
  </si>
  <si>
    <t>"2" 5 FIALE DA 10 ML 2 MG/ML</t>
  </si>
  <si>
    <t>"5" 1 FLACONCINO DA 30 ML 5 MG/ML</t>
  </si>
  <si>
    <t>NIMESULIDE ALMUS</t>
  </si>
  <si>
    <t>NIMESULIDE</t>
  </si>
  <si>
    <t>"100 MG COMPRESSE" 30 COMPRESSE</t>
  </si>
  <si>
    <t>NIMESULIDE ANGELINI</t>
  </si>
  <si>
    <t>"100 MG GRANULATO PER SOSPENSIONE ORALE"30 BUSTINE</t>
  </si>
  <si>
    <t>NIMESULIDE RATIOPHARM</t>
  </si>
  <si>
    <t>NIMESULIDE SUN</t>
  </si>
  <si>
    <t>"100 MG GRANULATO PER SOSPENSIONE ORALE" 30 BUSTINE</t>
  </si>
  <si>
    <t>NIMODIPINA MYLAN GENERICS</t>
  </si>
  <si>
    <t>NIMODIPINA</t>
  </si>
  <si>
    <t>" 30 MG/ 0,75 ML GOCCE ORALI, SOLUZIONE " FLACONE DA 25 ML</t>
  </si>
  <si>
    <t>NIMODIPINA PENSA</t>
  </si>
  <si>
    <t>" 30 MG/ 0,75 ML GOCCE ORALI, SOLUZIONE " FLACONE DI VETRO TIPO III DA 25 ML</t>
  </si>
  <si>
    <t>NIMODIPINA SANDOZ</t>
  </si>
  <si>
    <t>" 30 MG/0,75 ML GOCCE ORALI, SOLUZIONE " FLACONE DA 25 ML</t>
  </si>
  <si>
    <t>NITROCOR</t>
  </si>
  <si>
    <t>15 CEROTTI TRANSDERMICI 5MG/24ORE</t>
  </si>
  <si>
    <t>15 CEROTTI TRANSDERMICI 10MG/24ORE</t>
  </si>
  <si>
    <t>15 CEROTTI TRANSDERMICI 15MG/24ORE</t>
  </si>
  <si>
    <t>NITROSORBIDE</t>
  </si>
  <si>
    <t>ISOSORBIDE DINITRATO</t>
  </si>
  <si>
    <t>50 COMPRESSE 10 MG</t>
  </si>
  <si>
    <t>"5 MG/10 ML SOLUZIONE INIETTABILE PER USO ENDOVENOSO" 10 FIALE 10 ML</t>
  </si>
  <si>
    <t>NIVOLON</t>
  </si>
  <si>
    <t>"5 MG COMPRESSE" 28 COMPRESSE IN BLISTER AL/AL</t>
  </si>
  <si>
    <t>NIZACOL</t>
  </si>
  <si>
    <t>MICONAZOLO</t>
  </si>
  <si>
    <t>10 COMPRESSE 500 MG</t>
  </si>
  <si>
    <t>NEW RESEARCH S.R.L.</t>
  </si>
  <si>
    <t>NIZAX</t>
  </si>
  <si>
    <t>NIZATIDINA</t>
  </si>
  <si>
    <t>"150 MG CAPSULE RIGIDE" 20 CAPSULE</t>
  </si>
  <si>
    <t>Si rilascia autorizzazione all’importazione alle strutture sanitarie per analogo autorizzato all'estero</t>
  </si>
  <si>
    <t>"300 MG CAPSULE RIGIDE" 10 CAPSULE</t>
  </si>
  <si>
    <t>NOAN</t>
  </si>
  <si>
    <t>"10 MG/1 ML SOLUZIONE INIETTABILE" 3 FIALE  DA 1 ML</t>
  </si>
  <si>
    <t>NOLUS</t>
  </si>
  <si>
    <t>" 10 MG COMPRESSE RIVESTITE CON FILM " 28 COMPRESSE IN BLISTER PA/ALL/PVC/AL</t>
  </si>
  <si>
    <t>ELLEVA PHARMA SRL</t>
  </si>
  <si>
    <t>NOLVADEX</t>
  </si>
  <si>
    <t>TAMOXIFENE CITRATO</t>
  </si>
  <si>
    <t>"10 MG COMPRESSE RIVESTITE CON FILM"30 COMPRESSE</t>
  </si>
  <si>
    <t>"20 MG COMPRESSE RIVESTITE CON FILM" 20 COMPRESSE</t>
  </si>
  <si>
    <t>NORDITROPIN</t>
  </si>
  <si>
    <t>"SIMPLEXX 5 MG/1,5 ML SOLUZIONE INIETTABILE" 1 CARTUCCIA PER PENNA DOSATRICE</t>
  </si>
  <si>
    <t>NOVO NORDISK A/S</t>
  </si>
  <si>
    <t>"SIMPLEXX 10 MG/1,5 ML SOLUZIONE INIETTABILE" 1 CARTUCCIA PER PENNA DOSATRICE</t>
  </si>
  <si>
    <t>"SIMPLEXX 15 MG/1,5 ML SOLUZIONE INIETTABILE" 1 CARTUCCIA PER PENNA DOSATRICE</t>
  </si>
  <si>
    <t>NORITREN</t>
  </si>
  <si>
    <t>NORTRIPTILINA CLORIDRATO</t>
  </si>
  <si>
    <t>"10 MG COMPRESSE RIVESTITE" 30 COMPRESSE</t>
  </si>
  <si>
    <t>"25 MG COMPRESSE RIVESTITE" 30 COMPRESSE</t>
  </si>
  <si>
    <t>NORMIX</t>
  </si>
  <si>
    <t>RIFAXIMINA</t>
  </si>
  <si>
    <t>"2 G/100 ML GRANULATO PER SOSPENSIONE ORALE" 1 FLACONE 60 ML</t>
  </si>
  <si>
    <t>NOVAPIRINA</t>
  </si>
  <si>
    <t>"25 MG COMPRESSE RIVESTITE" 10 COMPRESSE</t>
  </si>
  <si>
    <t>NOVOSEVEN</t>
  </si>
  <si>
    <t>ACTIVATED EPTACOG ALFA</t>
  </si>
  <si>
    <t>"1 MG (50 KUI) POLVERE E SOLVENTE PER SOLUZ INIETTABILE-USO ENDOVENOSO-:POLV. 1 MG (50KUI) FLAC (VETRO)- SOLV.: 1,1 ML FLAC (VETRO)"  1 FLAC + 1 FLAC</t>
  </si>
  <si>
    <t>"2 MG (100 KUI) POLVERE E SOLVENTE PER SOLUZ INIETTABILE-USO ENDOVENOSO-:POLV. 2MG (100KUI) FLAC (VETRO)- SOLV.: 2,1 ML FLAC (VETRO)"  1 FLAC + 1 FLAC</t>
  </si>
  <si>
    <t>"5 MG (250 KUI) POLVERE E SOLVENTE PER SOLUZ INIETTABILE-USO ENDOVENOSO-:POLV. 5MG (250KUI) FLAC (VETRO)- SOLV.: 5,2 ML FLAC (VETRO)"  1 FLAC + 1 FLAC</t>
  </si>
  <si>
    <t>NULOJIX</t>
  </si>
  <si>
    <t>BELATACEPT</t>
  </si>
  <si>
    <t>"250MG-POLVERE PER CONCENTRATO PER SOLUZIONE PER INFUSIONE-USO ENDOVENOSO-FLACONCINO (VETRO);SIRINGA (PLASTICA)-25MG/ML"2 FLACONCINI+2 SIRINGHE</t>
  </si>
  <si>
    <t>BRISTOL-MYERS SQUIBB PHARMA EEIG</t>
  </si>
  <si>
    <t>"250MG-POLVERE PER CONCENTRATO PER SOLUZIONE PER INFUSIONE-USO ENDOVENOSO-FLACONCINO (VETR0);SIRINGA (PLASTICA)-25MG/ML"-1FLACONCINO+1SIRINGA</t>
  </si>
  <si>
    <t>NUROFENIMMEDIA</t>
  </si>
  <si>
    <t>"200 MG COMPRESSE RIVESTITE" 12 COMPRESSE</t>
  </si>
  <si>
    <t>"200 MG COMPRESSE RIVESTITE" 24 COMPRESSE</t>
  </si>
  <si>
    <t>NUTRAGENT</t>
  </si>
  <si>
    <t>DESONIDE</t>
  </si>
  <si>
    <t>"0,05 % CREMA" TUBO IN AL DA 15 G</t>
  </si>
  <si>
    <t>NUTROPINAQ</t>
  </si>
  <si>
    <t>10 MG/2 ML 1 CARTUCCIA DA 2 ML</t>
  </si>
  <si>
    <t>IPSEN PHARMA</t>
  </si>
  <si>
    <t>NUVARING</t>
  </si>
  <si>
    <t>ETONOGESTREL/ETINILESTRADIOLO</t>
  </si>
  <si>
    <t>1 DISPOSITIVO  VAGINALE IN BUSTINA AL/LDPE</t>
  </si>
  <si>
    <t>3 DISPOSITIVI VAGINALI IN BUSTINA AL/LDPE</t>
  </si>
  <si>
    <t>OCTAGAM</t>
  </si>
  <si>
    <t>"5% SOLUZIONE PER  INFUSIONE" 1 FLACONE IN VETRO DA  50 ML</t>
  </si>
  <si>
    <t>"5% SOLUZIONE PER INFUSIONE"  1 FLACONE IN VETRO DA  100 ML</t>
  </si>
  <si>
    <t>"5% SOLUZIONE PER INFUSIONE"  1 FLACONE IN VETRO DA  200 ML</t>
  </si>
  <si>
    <t>OCTANORM</t>
  </si>
  <si>
    <t>"165 MG/ML SOLUZIONE INIETTABILE" 1 FLACONCINO IN VETRO DA 10 ML</t>
  </si>
  <si>
    <t>"165 MG/ML SOLUZIONE INIETTABILE" 1 FLACONCINO IN VETRO DA 20 ML</t>
  </si>
  <si>
    <t>"165 MG/ML SOLUZIONE INIETTABILE" 1 FLACONCINO IN VETRO DA 6 ML</t>
  </si>
  <si>
    <t>"165 MG/ML SOLUZIONE INIETTABILE" 1 FLACONCINO IN VETRO DA 12 ML</t>
  </si>
  <si>
    <t>"165 MG/ML SOLUZIONE INIETTABILE" 1 FLACONCINO IN VETRO DA 24 ML</t>
  </si>
  <si>
    <t>"165 MG/ML SOLUZIONE INIETTABILE" 1 FLACONCINO IN VETRO DA 48 ML</t>
  </si>
  <si>
    <t>OCTREOTIDE PFIZER</t>
  </si>
  <si>
    <t>"0,2 MG/ML SOLUZIONE INIETTABILE" 1 FLACONCINO MULTIUSO</t>
  </si>
  <si>
    <t>"0,5 MG/1 ML SOLUZIONE INIETTABILE" 5 FLACONCINI MONOUSO</t>
  </si>
  <si>
    <t>"0,1 MG/1 ML SOLUZIONE INIETTABILE" 5 FLACONCINI MONOUSO</t>
  </si>
  <si>
    <t>0,05 MG/1 ML SOLUZIONE INIETTABILE" 5 FLACONCINI MONOUSO</t>
  </si>
  <si>
    <t>OCUSYNT</t>
  </si>
  <si>
    <t>"50 MICROGRAMMI/ML COLLIRIO, SOLUZIONE" 30 CONTENITORI MONODOSE DA 0,2 ML</t>
  </si>
  <si>
    <t>OGIVRI</t>
  </si>
  <si>
    <t>TRASTUZUMAB</t>
  </si>
  <si>
    <t>420 MG - POLVERE PER CONCENTRATO PER SOLUZIONE PER INFUSIONE - USO ENDOVENOSO - FLACONCINO (VETRO) - 420 MG - 1 FLACONCINO</t>
  </si>
  <si>
    <t>OLANZAPINA AUROBINDO</t>
  </si>
  <si>
    <t>OLANZAPINA</t>
  </si>
  <si>
    <t>"2,5 MG COMPRESSE" 28 COMPRESSE IN BLISTER PVC/PA/AL/PVC-AL</t>
  </si>
  <si>
    <t>"10 MG COMPRESSE" 28 COMPRESSE IN BLISTER PVC/PA/AL/PVC-AL</t>
  </si>
  <si>
    <t>OLANZAPINA AUROBINDO PHARMA ITALIA</t>
  </si>
  <si>
    <t>"5 MG COMPRESSE ORODISPERSIBILI" 28 COMPRESSE IN BLISTER PA/AL-EEA/PE/AL-PE</t>
  </si>
  <si>
    <t>OLANZAPINA SUN</t>
  </si>
  <si>
    <t>"2,5 MG COMPRESSE" 28 COMPRESSE IN BLISTER AL/AL</t>
  </si>
  <si>
    <t>"10 MG COMPRESSE" 28 COMPRESSE IN BLISTER AL/AL</t>
  </si>
  <si>
    <t>"5 MG COMPRESSE ORODISPERSIBILI" 28 COMPRESSE IN BLISTER AL/AL MONODOSE</t>
  </si>
  <si>
    <t>"10 MG COMPRESSE ORODISPERSIBILI" 28 COMPRESSE IN BLISTER AL/AL MONODOSE</t>
  </si>
  <si>
    <t>OLANZAPINA ZENTIVA</t>
  </si>
  <si>
    <t>"5 MG COMPRESSE RIVESTITE CON FILM" 28 COMPRESSE IN BLISTER OPA/AL/PVC/AL</t>
  </si>
  <si>
    <t>"5 MG COMPRESSE ORODISPERSIBILI" 28 COMPRESSE IN BLISTER OPA/AL/PVC/AL</t>
  </si>
  <si>
    <t>"10 MG COMPRESSE ORODISPERSIBILI" 28 COMPRESSE IN BLISTER OPA/AL/PVC/AL</t>
  </si>
  <si>
    <t>OLMESARTAN E  IDROCLOROTIAZIDE AUROBINDO</t>
  </si>
  <si>
    <t>IDROCLOROTIAZIDE + OLMESARTAN MEDOXOMIL</t>
  </si>
  <si>
    <t>"40 MG/12,5 MG COMPRESSE RIVESTITE CON FILM" 28 COMPRESSE IN BLISTER PA/AL/PVC/AL</t>
  </si>
  <si>
    <t>"40 MG/25 MG COMPRESSE RIVESTITE CON FILM" 28 COMPRESSE IN BLISTER PA/AL/PVC/AL</t>
  </si>
  <si>
    <t>"20 MG/12,5 MG COMPRESSE RIVESTITE CON FILM" 28 COMPRESSE IN BLISTER PA/AL/PVC/AL</t>
  </si>
  <si>
    <t>"20 MG/25 MG COMPRESSE RIVESTITE CON FILM" 28 COMPRESSE IN BLISTER PA/AL/PVC/AL</t>
  </si>
  <si>
    <t>OLMESARTAN E IDROCLOROTIAZIDE TECNIGEN</t>
  </si>
  <si>
    <t>"20 MG + 25 MG COMPRESSE RIVESTITE CON FILM" 28 COMPRESSE IN BLISTER OPA-AL-PVC/AL</t>
  </si>
  <si>
    <t>"40 MG + 12,5 MG COMPRESSE RIVESTITE CON FILM" 28 COMPRESSE IN BLISTER OPA-AL-PVC/AL</t>
  </si>
  <si>
    <t>"40 MG + 25 MG COMPRESSE RIVESTITE CON FILM" 28 COMPRESSE IN BLISTER OPA-AL-PVC/AL</t>
  </si>
  <si>
    <t>OLMESARTAN MEDOXOMIL  AUROBINDO</t>
  </si>
  <si>
    <t>OLMESARTAN MEDOXOMIL</t>
  </si>
  <si>
    <t>"10 MG COMPRESSE RIVESTITE CON FILM" 28 COMPRESSE IN BLISTER PO/AL/PVC-AL</t>
  </si>
  <si>
    <t>"20 MG COMPRESSE RIVESTITE CON FILM" 28 COMPRESSE IN BLISTER PO/AL/PVC-AL</t>
  </si>
  <si>
    <t>"40 MG COMPRESSE RIVESTITE CON FILM" 28 COMPRESSE IN BLISTER PO/AL/PVC-AL</t>
  </si>
  <si>
    <t>OLMESARTAN MEDOXOMIL E AMLODIPINA TEVA</t>
  </si>
  <si>
    <t>AMLODIPINA BESILATO + OLMESARTAN MEDOXOMIL</t>
  </si>
  <si>
    <t>"20 MG/5 MG COMPRESSE RIVESTITE CON FILM" 28 COMPRESSE IN BLISTER OPA/AL/PE/AL</t>
  </si>
  <si>
    <t>"40 MG/5 MG COMPRESSE RIVESTITE CON FILM" 28 COMPRESSE IN BLISTER OPA/AL/PE/AL</t>
  </si>
  <si>
    <t>"40 MG/10 MG COMPRESSE RIVESTITE CON FILM" 28 COMPRESSE IN BLISTER OPA/AL/PE/AL</t>
  </si>
  <si>
    <t>OLMESARTAN MEDOXOMIL E IDROCLOROTIAZIDE HCS</t>
  </si>
  <si>
    <t>"20 MG/25 MG COMPRESSE RIVESTITE CON FILM" 28 COMPRESSE IN BLISTER OPA/AL/PVC/AL</t>
  </si>
  <si>
    <t>HCS BVBA</t>
  </si>
  <si>
    <t>"40 MG/25 MG COMPRESSE RIVESTITE CON FILM" 28 COMPRESSE IN BLISTER OPA/AL/PVC/AL</t>
  </si>
  <si>
    <t>"40 MG/12,5 MG COMPRESSE RIVESTITE CON FILM" 28 COMPRESSE IN BLISTER OPA/AL/PVC/AL</t>
  </si>
  <si>
    <t>OLMESARTAN MEDOXOMIL E IDROCLOROTIAZIDE MYLAN</t>
  </si>
  <si>
    <t>"20 MG/12,5 MG COMPRESSE RIVESTITE CON FILM" 28 COMPRESSE IN BLISTER OPA/AL/PVC/AL</t>
  </si>
  <si>
    <t>OLMESARTAN MEDOXOMIL E IDROCLOROTIAZIDE TEVA</t>
  </si>
  <si>
    <t>"20MG/12,5MG COMPRESSE RIVESTITE CON FILM" 28 COMPRESSE IN BLISTER AL/AL</t>
  </si>
  <si>
    <t>"20MG/25MG COMPRESSE RIVESTITE CON FILM" 28 COMPRESSE IN BLISTER AL/AL</t>
  </si>
  <si>
    <t>"40MG/12,5MG COMPRESSE RIVESTITE CON FILM" 28 COMPRESSE IN BLISTER AL/AL</t>
  </si>
  <si>
    <t>"40MG/25MG COMPRESSE RIVESTITE CON FILM" 28 COMPRESSE IN BLISTER AL/AL</t>
  </si>
  <si>
    <t>OLMESARTAN MEDOXOMIL MYLAN</t>
  </si>
  <si>
    <t>"40 MG COMPRESSE RIVESTITE CON FILM" 28 COMPRESSE IN BLISTER PA/AL/PVC/AL</t>
  </si>
  <si>
    <t>OLMESARTAN MEDOXOMIL SANDOZ</t>
  </si>
  <si>
    <t>" 10 MG COMPRESSE RIVESTITE CON FILM " 28 COMPRESSE IN BLISTER AL/AL</t>
  </si>
  <si>
    <t>OLMESARTAN MEDOXOMIL ZENTIVA</t>
  </si>
  <si>
    <t>"40 MG COMPRESSE RIVESTITE CON FILM" 28 COMPRESSE IN BLISTER OPA/AL/PVC/AL</t>
  </si>
  <si>
    <t>OLUMIANT</t>
  </si>
  <si>
    <t>BARICITINIB</t>
  </si>
  <si>
    <t>2 MG - COMPRESSA RIVESTITA CON FILM - USO ORALE - BLISTER (PVC/PE/PCTFE/ALU) - 84 COMPRESSE</t>
  </si>
  <si>
    <t>OMEPRAZEN</t>
  </si>
  <si>
    <t>"40 MG POLVERE PER SOLUZIONE PER INFUSIONE" 1 FLACONCINO</t>
  </si>
  <si>
    <t>OMEPRAZOLO  SUN</t>
  </si>
  <si>
    <t>"20 MG CAPSULE RIGIDE GASTRORESISTENTI" 14 CAPSULE IN BLISTER PA/AL/PE</t>
  </si>
  <si>
    <t>"10 MG CAPSULE RIGIDE GASTRORESISTENTI" 28 CAPSULE IN FLACONE HDPE</t>
  </si>
  <si>
    <t>OMEPRAZOLO ABC</t>
  </si>
  <si>
    <t>" 10 MG CAPSULE RIGIDE GASTRORESISTENTI" 14 CAPSULE</t>
  </si>
  <si>
    <t>ABC FARMACEUTICI S.P.A.</t>
  </si>
  <si>
    <t>" 20 MG CAPSULE RIGIDE GASTRORESISTENTI"  14 CAPSULE</t>
  </si>
  <si>
    <t>OMEPRAZOLO ALMUS</t>
  </si>
  <si>
    <t>"20 MG CAPSULE RIGIDE GASTRORESISTENTI" 28  CAPSULE IN BLISTER PVC-AL-PA/AL-AL</t>
  </si>
  <si>
    <t>OMEPRAZOLO ALMUS PHARMA</t>
  </si>
  <si>
    <t>OMEPRAZOLO MYLAN</t>
  </si>
  <si>
    <t>"10 MG CAPSULE RIGIDE GASTRORESISTENTI" 14 CAPSULE IN BLISTER AL/PA/PVC</t>
  </si>
  <si>
    <t>"20 MG CAPSULE RIGIDE GASTRORESISTENTI" 14 CAPSULE IN BLISTER AL/PA/PVC</t>
  </si>
  <si>
    <t>OMEPRAZOLO MYLAN GENERICS ITALIA</t>
  </si>
  <si>
    <t>OMEPRAZOLE</t>
  </si>
  <si>
    <t>" 40 MG POLVERE PER SOLUZIONE PER INFUSIONE"  5 FLACONCINI IN VETRO DA 40 MG</t>
  </si>
  <si>
    <t>OMMUNAL</t>
  </si>
  <si>
    <t>OMNITROPE</t>
  </si>
  <si>
    <t>"10MG/1,5ML SOLUZIONE INIETTABILE IN UNA CARTUCCIA - SOTTOCUTANEA - CARTUCCIA (VETRO)" 1,5 ML 1 CARTUCCIA</t>
  </si>
  <si>
    <t>ONCASPAR</t>
  </si>
  <si>
    <t>PEGASPARGASE</t>
  </si>
  <si>
    <t>750 U/ML - SOLUZIONE INIETTABILE/PER INFUSIONE - USO INTRAMUSCOLARE, USO ENDOVENOSO - FLACONCINO (VETRO) 5 ML - 1 FLACONCINO</t>
  </si>
  <si>
    <t>LES LABORATOIRES SERVIER</t>
  </si>
  <si>
    <t>ONDANSETRONE ACCORD HEALTHCARE</t>
  </si>
  <si>
    <t>ONDANSETRON CLORIDRATO DIIDRATO</t>
  </si>
  <si>
    <t>"2 MG/ML SOLUZIONE INIETTABILE O PER INFUSIONE" 5 FIALE IN VETRO DA 2 ML</t>
  </si>
  <si>
    <t>"2 MG/ML SOLUZIONE INIETTABILE O PER INFUSIONE" 10 FIALE IN VETRO DA 2 ML</t>
  </si>
  <si>
    <t>"2 MG/ML SOLUZIONE INIETTABILE O PER INFUSIONE" 5 FIALE IN VETRO DA 4 ML</t>
  </si>
  <si>
    <t>ONDANSETRONE MYLAN GENERICS ITALIA</t>
  </si>
  <si>
    <t>ONDANSETRONE CLORIDRATO</t>
  </si>
  <si>
    <t>"2 MG/ML SOLUZIONE INIETTABILE" 1 FIALA IN VETRO DA 2 ML</t>
  </si>
  <si>
    <t>ONILAQ</t>
  </si>
  <si>
    <t>AMOROLFINA CLORIDRATO</t>
  </si>
  <si>
    <t>"5% SMALTO MEDICATO PER UNGHIE" 1 FLACONE IN VETRO DA 2,5 ML CON ACCESSORI (30 LIMETTE PER UNGHIE, 30 TAMPONI DETERGENTI, 30 APPLICATORI)</t>
  </si>
  <si>
    <t>ONILAQARE</t>
  </si>
  <si>
    <t>"0,25% CREMA" 1 TUBO 20 G</t>
  </si>
  <si>
    <t>"5% SMALTO MEDICATO PER UNGHIE"  1 FLACONE  2,5 ML + 10 SPATOLE</t>
  </si>
  <si>
    <t>OPTINATE</t>
  </si>
  <si>
    <t>"5 MG COMPRESSE RIVESTITE CON FILM" 28 (2X14) COMPRESSE IN BLISTER</t>
  </si>
  <si>
    <t>OPTIRAY</t>
  </si>
  <si>
    <t>IOVERSOLO</t>
  </si>
  <si>
    <t>"320 MG/ML SOLUZIONE INIETTABILE"  FLACONE 50 ML</t>
  </si>
  <si>
    <t>GUERBET</t>
  </si>
  <si>
    <t>"300 MG/ML SOLUZIONE INIETTABILE" FLACONE 100 ML</t>
  </si>
  <si>
    <t>"350 MG/ML SOLUZIONE INIETTABILE" FLACONE 50 ML</t>
  </si>
  <si>
    <t>" 300 MG/ML SOLUZIONE INETTABILE " 10 SIRINGHE PRERIEMPITE 125 ML</t>
  </si>
  <si>
    <t>ORAXIM</t>
  </si>
  <si>
    <t>ACETOSSIETILCEFUROXIMA</t>
  </si>
  <si>
    <t>"125MG/5ML GRANULATO PER SOSPENSIONE ORALE" FLACONE DA 100ML</t>
  </si>
  <si>
    <t>"250MG GRANULATO PER SOSPENSIONE ORALE" 12 BUSTINE</t>
  </si>
  <si>
    <t>ORVATEZ</t>
  </si>
  <si>
    <t>" 10MG/40MG COMPRESSE RIVESTITE CON FILM " 30 COMPRESSE IN BLISTER AL/AL</t>
  </si>
  <si>
    <t>OSSEOR</t>
  </si>
  <si>
    <t>STRONZIO RANELATO</t>
  </si>
  <si>
    <t>28 BUSTINE DA 2 G</t>
  </si>
  <si>
    <t>OSTEONORM</t>
  </si>
  <si>
    <t>"100 MG SOLUZIONE INIETTABILE" 6 FIALE</t>
  </si>
  <si>
    <t>SAVIO PHARMA ITALIA S.R.L.</t>
  </si>
  <si>
    <t>OTOFLUOR</t>
  </si>
  <si>
    <t>SODIO FLUORURO/CALCIO GLUCONATO</t>
  </si>
  <si>
    <t>"COMPRESSE GASTRORESISTENTI" 100 COMPRESSE</t>
  </si>
  <si>
    <t>OXALIPLATINO  AUROBINDO</t>
  </si>
  <si>
    <t>"5MG/ML CONCENTRATO PER SOLUZIONE PER INFUSIONE" 1 FLACONCINO IN VETRO DA 10 ML</t>
  </si>
  <si>
    <t>"5MG/ML CONCENTRATO PER SOLUZIONE PER INFUSIONE" 1 FLACONCINO IN VETRO DA 20 ML</t>
  </si>
  <si>
    <t>"5MG/ML CONCENTRATO PER SOLUZIONE PER INFUSIONE" 1 FLACONCINO IN VETRO DA 40 ML</t>
  </si>
  <si>
    <t>OXALIPLATINO ACCORD</t>
  </si>
  <si>
    <t>" 5 MG/ML CONCENTRATO PER SOLUZIONE PER INFUSIONE" 1 FLACONCINO IN VETRO DA 20 ML</t>
  </si>
  <si>
    <t>OXALIPLATINO PFIZER</t>
  </si>
  <si>
    <t>"5 MG/ML CONCENTRATO PER SOLUZIONE PER INFUSIONE" 1 FLACONCINO DI VETRO DA 10 ML</t>
  </si>
  <si>
    <t>comunicano decadeza aic a Novembre 2020 prot. 108549 del 2.10.2020</t>
  </si>
  <si>
    <t>"5 MG/ML CONCENTRATO PER SOLUZIONE PER INFUSIONE" 1 FLACONCINO DI VETRO DA 20 ML</t>
  </si>
  <si>
    <t>OXALIPLATINO SUN</t>
  </si>
  <si>
    <t>" 5MG/ML CONCENTRATO PER SOLUZIONE PER INFUSIONE" 1 FLACONCINO DA 50MG/10ML  IN VETRO</t>
  </si>
  <si>
    <t>" 5MG/ML CONCENTRATO PER SOLUZIONE PER INFUSIONE" 1 FLACONCINO DA 100MG/20ML  IN VETRO</t>
  </si>
  <si>
    <t>" 5MG/ML CONCENTRATO PER SOLUZIONE PER INFUSIONE" 1 FLACONCINO DA 200MG/40ML  IN VETRO</t>
  </si>
  <si>
    <t>OXALIPLATINO TEVA</t>
  </si>
  <si>
    <t>PACLITAXEL ACCORD HEALTHCARE ITALIA</t>
  </si>
  <si>
    <t>" 6 MG/ML CONCENTRATO PER SOLUZIONE PER INFUSIONE" 1 FLACONCINO  IN VETRO DA 30MG/5ML</t>
  </si>
  <si>
    <t>" 6 MG/ML CONCENTRATO PER SOLUZIONE PER INFUSIONE" 1 FLACONCINO  IN VETRO DA 100MG/16,7ML</t>
  </si>
  <si>
    <t>" 6 MG/ML CONCENTRATO PER SOLUZIONE PER INFUSIONE" 1 FLACONCINO  IN VETRO DA 300MG/50ML</t>
  </si>
  <si>
    <t>"6 MG/ML CONCENTRATO PER SOLUZIONE PER INFUSIONE" 1 FLACONCINO IN VETRO  DA 150MG/25ML</t>
  </si>
  <si>
    <t>"6 MG/ML CONCENTRATO PER SOLUZIONE PER INFUSIONE" 1 FLACONCINO IN VETRO DA 600 MG/100ML</t>
  </si>
  <si>
    <t>PACLITAXEL AUROBINDO</t>
  </si>
  <si>
    <t>"6 MG/ML CONCENTRATO PER SOLUZIONE PER INFUSIONE" 1 FLACONCINO IN VETRO DA 16.7 ML</t>
  </si>
  <si>
    <t>"6 MG/ML CONCENTRATO PER SOLUZIONE PER INFUSIONE" 1 FLACONCINO IN VETRO DA 25 ML</t>
  </si>
  <si>
    <t>PACLITAXEL SANDOZ</t>
  </si>
  <si>
    <t>"6 MG/ML CONCENTRATO PER SOLUZIONE PER INFUSIONE" 1 FLACONCINO DA 150 MG</t>
  </si>
  <si>
    <t>PALIPERIDONE TEVA</t>
  </si>
  <si>
    <t>"6 MG COMPRESSE A RILASCIO PROLUNGATO" 28 COMPRESSE IN BLISTER OPA/AL/PVC/AL DIVISIBILE PER DOSE UNITARIA</t>
  </si>
  <si>
    <t>PALONOSETRON DR. REDDY'S</t>
  </si>
  <si>
    <t>PALONOSETRON</t>
  </si>
  <si>
    <t>"250 MICROGRAMMI SOLUZIONE INIETTABILE" 1 FLACONCINO IN VETRO DA 5 ML</t>
  </si>
  <si>
    <t>PALONOSETRON FRESENIUS KABI</t>
  </si>
  <si>
    <t>"250 MICROGRAMMI SOLUZIONE INIETTABILE" 10 FLACONCINI IN VETRO DA 5 ML</t>
  </si>
  <si>
    <t>PAMIDRONATO DISODICO HIKMA</t>
  </si>
  <si>
    <t>ACIDO PAMIDRONICO SALE DISODICO</t>
  </si>
  <si>
    <t>"90 MG/ 10 ML SOLUZIONE PER INFUSIONE"  FLACONCINO 10 ML</t>
  </si>
  <si>
    <t>HIKMA ITALIA S.P.A.</t>
  </si>
  <si>
    <t>"15 MG/ 5 ML SOLUZIONE PER INFUSIONE" 4 FLACONCINI 5 ML</t>
  </si>
  <si>
    <t>"30 MG/ 10 ML SOLUZIONE PER INFUSIONE" 2 FLACONCINI 10 ML</t>
  </si>
  <si>
    <t>"60 MG/ 10 ML SOLUZIONE PER INFUSIONE"  FLACONCINO 10 ML</t>
  </si>
  <si>
    <t>PANTOLOC CONTROL</t>
  </si>
  <si>
    <t>PANTOPRAZOLO</t>
  </si>
  <si>
    <t>"20 MG-COMPRESSA GASTRORESISTENTE - USO ORALE- BLISTER (ALU/ALU)" 7 COMPRESSE</t>
  </si>
  <si>
    <t>TAKEDA GMBH</t>
  </si>
  <si>
    <t>"20 MG-COMPRESSA GASTRORESISTENTE -USO ORALE- BLISTER (ALU/ALU)" 14 COMPRESSE</t>
  </si>
  <si>
    <t>PANTOPRAZOLO  TEVA  GENERICS</t>
  </si>
  <si>
    <t>"40 MG POLVERE PER SOLUZIONE INIETTABILE" 1 FLACONCINO IN VETRO</t>
  </si>
  <si>
    <t>"40 MG POLVERE PER SOLUZIONE INIETTABILE" 10 FLACONCINI IN VETRO</t>
  </si>
  <si>
    <t>PANTOPRAZOLO AUROBINDO</t>
  </si>
  <si>
    <t>" 40 MG COMPRESSE GASTRO RESISTENTI " 28 COMPRESSE IN BLISTER PA/AL/PVC/AL</t>
  </si>
  <si>
    <t>PANTOPRAZOLO AUROBINDO ITALIA</t>
  </si>
  <si>
    <t>"40 MG COMPRESSE GASTRORESISTENTI" 14 COMPRESSE IN BLISTER AL/AL</t>
  </si>
  <si>
    <t>PANTOPRAZOLO MYLAN GENERICS</t>
  </si>
  <si>
    <t>"40 MG COMPRESSE GASTRORESISTENTI" 14 COMPRESSE IN FLACONE HDPE</t>
  </si>
  <si>
    <t>"20 MG COMPRESSE GASTRORESISTENTI" 14 COMPRESSE IN FLACONE HDPE</t>
  </si>
  <si>
    <t>PANTOPRAZOLO SUN</t>
  </si>
  <si>
    <t>" 40 MG POLVERE PER SOLUZIONE  INIETTABILE " 1 FLACONCINO IN VETRO</t>
  </si>
  <si>
    <t>PANTOPRAZOLO SUN PHARMACEUTICAL INDUSTRIES LIMITED</t>
  </si>
  <si>
    <t>" 20 MG COMPRESSE GASTRO-RESISTENTI " 28 COMPRESSE IN BLISTER ALU/ALU</t>
  </si>
  <si>
    <t>" 40 MG COMPRESSE GASTRO-RESISTENTI " 14 COMPRESSE IN BLISTER ALU/ALU</t>
  </si>
  <si>
    <t>" 40 MG COMPRESSE GASTRO-RESISTENTI " 28 COMPRESSE IN BLISTER ALU/ALU</t>
  </si>
  <si>
    <t>PARACALCITOLO ACCORD</t>
  </si>
  <si>
    <t>PARACALCITOLO</t>
  </si>
  <si>
    <t>"5 MCG/ML SOLUZIONE INIETTABILE" 1 FLACONCINO DA 1 ML</t>
  </si>
  <si>
    <t>PARACALCITOLO TEVA ITALIA</t>
  </si>
  <si>
    <t>"2 MICROGRAMMI CAPSULE MOLLI" 28 CAPSULE IN CONTENITORE HDPE</t>
  </si>
  <si>
    <t>PARACETAMOLO E PSEUDOEFEDRINA CLORIDRATO ALMUS</t>
  </si>
  <si>
    <t>ACIDO CITRICO + AROMA LIMONE-PRUGNA                                                                                        + ASPARTAME                                                                                                  + DOCUSATO SODICO/SORBITOLO + LEUCINA + PARACETAMOLO + PSEUDOEFEDRINA CLORIDRATO + SACCARINA SODICA BIIDRATA                                                                                  + SIMETICONE + SODIO BICARBONATO + SORBITOLO</t>
  </si>
  <si>
    <t>PARACETAMOLO PENSA</t>
  </si>
  <si>
    <t>" 500 MG COMPRESSE " 20 COMPRESSE IN BLISTER PVC/AL</t>
  </si>
  <si>
    <t>" 1000 MG COMPRESSE " 16 COMPRESSE IN BLISTER PVC/AL</t>
  </si>
  <si>
    <t>PARACETAMOLO SANDOZ</t>
  </si>
  <si>
    <t>"500 MG COMPRESSE" 20 COMPRESSE IN BLISTER PVC/AL</t>
  </si>
  <si>
    <t>"1000 MG COMPRESSE" 16 COMPRESSE IN BLISTER PVC/AL</t>
  </si>
  <si>
    <t>PARACETAMOLO ZENTIVA GENERICS</t>
  </si>
  <si>
    <t>"1000 MG COMPRESSE RIVESTITE CON FILM" 16 COMPRESSE IN BLISTER PVC/AL</t>
  </si>
  <si>
    <t>PAROXETINA MYLAN GENERICS</t>
  </si>
  <si>
    <t>PAROXETINA CLORIDRATO</t>
  </si>
  <si>
    <t>28 COMPRESSE RIVESTITE CON FILM IN FLACONE HDPE DA 20 MG</t>
  </si>
  <si>
    <t>PAROXETINA SUN</t>
  </si>
  <si>
    <t>"20 MG COMPRESSE RIVESTITE CON FILM" 28 COMPRESSE IN BLISTER AL/AL</t>
  </si>
  <si>
    <t>PAUDIEN</t>
  </si>
  <si>
    <t>DIENOGEST + ESTRADIOLO VALERATO</t>
  </si>
  <si>
    <t>"1 MG/2MG COMPRESSE" 28 COMPRESSE IN BLISTER PVC/PVDC/AL CON CALENDARIO</t>
  </si>
  <si>
    <t>PEGASYS</t>
  </si>
  <si>
    <t>INTERFERONE ALFA-2A PEGILATO</t>
  </si>
  <si>
    <t>"135MCG-SOLUZ. INIETTABILE-USO SOTTOCUT.-PENNA PRERIEMPITA-0.5 ML (270MCG/ML)" 1 PENNA PRERIEMPITA</t>
  </si>
  <si>
    <t>"180MCG-SOLUZ. INIETTABILE-USO SOTTOCUT.-PENNA PRERIEMPITA-0.5 ML (360MCG/ML)" 1 PENNA PRERIEMPITA</t>
  </si>
  <si>
    <t>PEGINTRON</t>
  </si>
  <si>
    <t>INTERFERONE ALFA 2B PEGILATO</t>
  </si>
  <si>
    <t>50 MCG POLVERE E SOLVENTE PER SOLUZIONE INIETTABILE 1 FLACONCINO VETRO + 1 FIALA VETRO USO SOTTOCUTANEO</t>
  </si>
  <si>
    <t>120 MCG POLVERE E SOLVENTE PER SOLUZIONE INIETTABILE 1 FLACONCINO VETRO + 1 FIALA VETRO USO SOTTOCUTANEO</t>
  </si>
  <si>
    <t>80 MCG POLVERE E SOLVENTE PER SOLUZIONE INIETTABILE 1 FLACONCINO VETRO + 1 FIALA VETRO USO SOTTOCUTANEO</t>
  </si>
  <si>
    <t>100 MCG POLVERE E SOLVENTE PER SOLUZIONE INIETTABILE 1 FLACONCINO VETRO + 1 FIALA VETRO USO SOTTOCUTANEO</t>
  </si>
  <si>
    <t>150 MCG POLVERE E SOLVENTE PER SOLUZIONE INIETTABILE 1 FLACONCINO VETRO + 1 FIALA VETRO USO SOTTOCUTANEO</t>
  </si>
  <si>
    <t>80 MCG POLVERE E SOLVENTE PER SOLUZIONE INIETTABILE IN CARTUCCIA A DUE SCOMPARTI IN 1 PENNA PRERIEMPITA + 1 AGO + 2 TAMPONI  USO SOTTOCUTANEO</t>
  </si>
  <si>
    <t>120 MCG POLVERE E SOLVENTE PER SOLUZIONE INIETTABILE IN CARTUCCIA A DUE SCOMPARTI IN 1 PENNA PRERIEMPITA + 1 AGO + 2 TAMPONI  USO SOTTOCUTANEO</t>
  </si>
  <si>
    <t>150 MCG POLVERE E SOLVENTE PER SOLUZIONE INIETTABILE IN CARTUCCIA A DUE SCOMPARTI IN 1 PENNA PRERIEMPITA + 1 AGO + 2 TAMPONI  USO SOTTOCUTANEO</t>
  </si>
  <si>
    <t>PEMETREXED FRESENIUS KABI</t>
  </si>
  <si>
    <t>PEMETREXED</t>
  </si>
  <si>
    <t>100 MG - POLVERE PER CONCENTRATO PER SOLUZIONE PER INFUSIONE - USO ENDOVENOSO - FLACONCINO (VETRO) - 1 FLACONCINO</t>
  </si>
  <si>
    <t>500 MG - POLVERE PER CONCENTRATO PER SOLUZIONE PER INFUSIONE - USO ENDOVENOSO - FLACONCINO (VETRO) 1 FLACONCINO</t>
  </si>
  <si>
    <t>PENNSAID</t>
  </si>
  <si>
    <t>"16 MG/ML SOLUZIONE CUTANEA" FLACONE DA 30 ML</t>
  </si>
  <si>
    <t>PENSTAPHO</t>
  </si>
  <si>
    <t>OXACILLINA SODICA</t>
  </si>
  <si>
    <t>"1 G/5 ML POLVERE E SOLVENTE PER SOLUZIONE INIETTABILE" 1 FLACONE + FIALA SOLVENTE 5 ML</t>
  </si>
  <si>
    <t>LABORATOIRES DELBERT</t>
  </si>
  <si>
    <t>PENTACARINAT</t>
  </si>
  <si>
    <t>PENTAMIDINA ISETIONATO</t>
  </si>
  <si>
    <t>"300 MG POLVERE PER SOLUZIONE INIETTABILE O DA NEBULIZZARE" 1 FLACONE</t>
  </si>
  <si>
    <t>PENTAVAC</t>
  </si>
  <si>
    <t>TOSSOIDE DIFTERICO/TOSSOIDE TETANICO/TOSSOIDE PERTOSSICO/EMOAGGLUTININA FILAMENTOSA/VACCINO POLIOMIELITICO INATTIVATO/POLISACCARIDE HAEMOFILUS INFLUENZAE CONIUGATO CON PROTEINA DEL TETANO</t>
  </si>
  <si>
    <t>" 0,5 ML POLVERE E SOSPENSIONE INIETTABILE " 1 FLACONCINO MONODOSE + 1SIRINGA PRE-RIEMPITA MONODOSE CON 2 AGHI SEPARATI</t>
  </si>
  <si>
    <t>SANOFI PASTEUR EUROPE</t>
  </si>
  <si>
    <t>PERCITALE</t>
  </si>
  <si>
    <t>PERFALGAN</t>
  </si>
  <si>
    <t>"10 MG/ML SOLUZIONE PER INFUSIONE" 12 FLACONCINI DA 100 ML</t>
  </si>
  <si>
    <t>"10 MG/ML SOLUZIONE PER INFUSIONE " 12 FLACONCINI DA 50 ML</t>
  </si>
  <si>
    <t>"10 MG/ML SOLUZIONE PER INFUSIONE" 50 SACCHE DA 100 ML IN PP/POLYOLEFIN CON PORTA TWIST-OFF</t>
  </si>
  <si>
    <t>PERFORMER</t>
  </si>
  <si>
    <t>"250 MG/5 ML GRANULATO PER SOSPENSIONE ORALE" FLACONE DA 100 ML</t>
  </si>
  <si>
    <t>PERIACTIN</t>
  </si>
  <si>
    <t>CIPROEPTADINA CLORIDRATO</t>
  </si>
  <si>
    <t>"4 MG COMPRESSE" 30 COMPRESSE</t>
  </si>
  <si>
    <t>PERIBRAIN</t>
  </si>
  <si>
    <t>" 30 MG/0,75 ML GOCCE ORALI, SOLUZIONE " 1 FLACONE DA 25 ML</t>
  </si>
  <si>
    <t>" 30 MG/0,75 ML GOCCE ORALI, SOLUZIONE " 30 CONTENITORI MONODOSE DA 0,75 ML</t>
  </si>
  <si>
    <t>PERINDOPRIL E INDAPAMIDE TEVA ITALIA</t>
  </si>
  <si>
    <t>"10 MG/2,5MG COMPRESSE RIVESTITE CON FILM" 30 COMPRESSE IN CONTENITORE PP</t>
  </si>
  <si>
    <t>PERINDOPRIL SUN</t>
  </si>
  <si>
    <t>PERINDOPRIL TERT-BUTILAMINA</t>
  </si>
  <si>
    <t>"4 MG COMPRESSE" 30 COMPRESSE IN BLISTER PA/AL/PVC-AL</t>
  </si>
  <si>
    <t>PERSANTIN</t>
  </si>
  <si>
    <t>DIPIRIDAMOLO</t>
  </si>
  <si>
    <t>"75 MG COMPRESSE RIVESTITE" 30 COMPRESSE</t>
  </si>
  <si>
    <t>"200 MG CAPSULE RIGIDE A RILASCIO MODIFICATO" 30 CAPSULE</t>
  </si>
  <si>
    <t>PETIDINA CLORIDRATO S.A.L.F.</t>
  </si>
  <si>
    <t>PETIDINA CLORIDRATO</t>
  </si>
  <si>
    <t>"100 MG/ 2 ML SOLUZIONE INIETTABILE" 5 FIALE DA 2 ML</t>
  </si>
  <si>
    <t>PEVARYL</t>
  </si>
  <si>
    <t>"150 MG OVULI A RILASCIO PROLUNGATO" 2 OVULI</t>
  </si>
  <si>
    <t>PEVISONE</t>
  </si>
  <si>
    <t>ECONAZOLO/TRIAMCINOLONE</t>
  </si>
  <si>
    <t>«1%+ 0,1 % EMULSIONE CUTANEA» FLACONE DA 30 ML</t>
  </si>
  <si>
    <t>PHIZAMOL</t>
  </si>
  <si>
    <t>"500 MG COMPRESSE EFFERVESCENTI" 20 COMPRESSE (1 TUBOX20)</t>
  </si>
  <si>
    <t>PILOCARPINA CLORIDRATO ALLERGAN</t>
  </si>
  <si>
    <t>"1% COLLIRIO, SOLUZIONE"FLACONE 10 ML</t>
  </si>
  <si>
    <t>PIOGLITAZONE AUROBINDO</t>
  </si>
  <si>
    <t>PIOGLITAZONE</t>
  </si>
  <si>
    <t>"30 MG COMPRESSE" 28 COMPRESSE IN BLISTER PA/AL/PVC/AL</t>
  </si>
  <si>
    <t>PIOGLITAZONE MYLAN</t>
  </si>
  <si>
    <t>"30 MG COMPRESSE" 28 COMPRESSE IN BLISTER OPA/AL/PVC/AL</t>
  </si>
  <si>
    <t>PIPERACILLINA DOROM</t>
  </si>
  <si>
    <t>PIPERACILLINA SODICA</t>
  </si>
  <si>
    <t>"1 G POLVERE E SOLVENTE PER SOLUZIONE INIETTABILE" 1 FLACONCINO POLVERE 1 G + 1 FIALA SOLVENTE 2 ML</t>
  </si>
  <si>
    <t>"2 G POLVERE E SOLVENTE PER SOLUZIONE INIETTABILE" 1 FLACONCINO POLVERE 2 G + 1 FIALA SOLVENTE 4 ML</t>
  </si>
  <si>
    <t>PIPERACILLINA E TAZOBACTAM AUROBINDO</t>
  </si>
  <si>
    <t>PIPERACILLINA + TAZOBACTAM</t>
  </si>
  <si>
    <t>" 4G/0,5G POLVERE PER SOLUZIONE INIETTABILE O INFUSIONE " 1 FLACONCINO IN VETRO DA 48 ML</t>
  </si>
  <si>
    <t>PIPERACILLINA E TAZOBACTAM IBIGEN</t>
  </si>
  <si>
    <t>"4 G/0.5 G POLVERE PER SOLUZIONE INIETTABILE O PER INFUSIONE" 1 FLACONCINO IN VETRO</t>
  </si>
  <si>
    <t>"4 G/0.5 G POLVERE PER SOLUZIONE INIETTABILE O PER INFUSIONE" 10 FLACONCINI IN VETRO</t>
  </si>
  <si>
    <t>"2 G/0.25 G POLVERE PER SOLUZIONE INIETTABILE O PER INFUSIONE" 10 FLACONCINI IN VETRO</t>
  </si>
  <si>
    <t>"2 G/0.25 G POLVERE PER SOLUZIONE INIETTABILE O PER INFUSIONE" 1 FLACONCINO IN VETRO</t>
  </si>
  <si>
    <t>PIPERACILLINA E TAZOBACTAM MYLAN GENERICS</t>
  </si>
  <si>
    <t>PIPERACILLINA SODICA + TAZOBACTAM SODICO</t>
  </si>
  <si>
    <t>"4 G/0,5 G POLVERE PER SOLUZIONE PER INFUSIONE" 10 FLACONCINI IN VETRO DI POLVERE</t>
  </si>
  <si>
    <t>PIPERACILLINA E TAZOBACTAM SANDOZ</t>
  </si>
  <si>
    <t>"2 G/250 MG POLVERE PER SOLUZIONE INIETTABILE O PER INFUSIONE" 1 FLACONCINO IN VETRO DA 30 ML</t>
  </si>
  <si>
    <t>"4 G/500 MG POLVERE PER SOLUZIONE INIETTABILE O PER INFUSIONE" 10 FLACONI IN VETRO DA 100 ML</t>
  </si>
  <si>
    <t>PIPERACILLINA EG</t>
  </si>
  <si>
    <t>"2 G/4 ML  POLVERE E SOLVENTE PER SOLUZIONE INIETTABILE" 1 FLACONCINO  + 1 FIALA SOLVENTE 4 ML</t>
  </si>
  <si>
    <t>PIPERACILLINA SANDOZ</t>
  </si>
  <si>
    <t>"2 G/4 ML POLVERE E SOLVENTE PER SOLUZIONE INIETTABILE" 1 FLACONE + 1 FIALA SOLVENTE</t>
  </si>
  <si>
    <t>"1 G POLVERE E SOLVENTE PER SOLUZIONE INIETTABILE PER USO INTRAMUSCOLARE" 1 FLACONE + 1 FIALA</t>
  </si>
  <si>
    <t>"2 G POLVERE E SOLVENTE PER SOLUZIONE INIETTABILE PER USO INTRAMUSCOLARE" 1 FLACONE + 1 FIALA</t>
  </si>
  <si>
    <t>"4 G POLVERE PER SOLUZIONE INIETTABILE" 1 FLACONE</t>
  </si>
  <si>
    <t>PIROBEC</t>
  </si>
  <si>
    <t>"10 MG/G SCHIUMA CUTANEA" CONTENITORE SOTTO PRESSIONE 50 G</t>
  </si>
  <si>
    <t>PIROS</t>
  </si>
  <si>
    <t>"2,4 G/ 100 ML SCIROPPO" 1 FLACONE 100 ML</t>
  </si>
  <si>
    <t>PIROXICAM SANDOZ GMBH</t>
  </si>
  <si>
    <t>"20 MG/1 ML SOLUZIONE INIETTABILE PER USO INTRAMUSCOLARE" 6 FIALE DA 1 ML</t>
  </si>
  <si>
    <t>PLANDER</t>
  </si>
  <si>
    <t>DESTRANO 70</t>
  </si>
  <si>
    <t>"70.000-30 G/500 ML SOLUZIONE PER INFUSIONE"  20 FLACONI 500 ML</t>
  </si>
  <si>
    <t>PLASIL</t>
  </si>
  <si>
    <t>METOCLOPRAMIDE CLORIDRATO</t>
  </si>
  <si>
    <t>"10 MG/10 ML SCIROPPO" FLACONE 120 ML</t>
  </si>
  <si>
    <t>La carenza è totale per il canale retail; per il canale ospedaliero trattasi di distribuzione contingentata</t>
  </si>
  <si>
    <t>PLATAMINE</t>
  </si>
  <si>
    <t>"25 MG POLVERE PER SOLUZIONE INIETTABILE" 1 FLACONE DA 25 MG</t>
  </si>
  <si>
    <t>"10 MG POLVERE PER SOLUZIONE INIETTABILE" 1 FLACONCINO DA 10 MG</t>
  </si>
  <si>
    <t>"50 MG POLVERE PER SOLUZIONE INIETTABILE"  1 FLACONE 50 MG</t>
  </si>
  <si>
    <t>PLENAER</t>
  </si>
  <si>
    <t>SALBUTAMOLO SOLFATO/FLUNISOLIDE</t>
  </si>
  <si>
    <t>"25 MG + 10 MG SOSPENSIONE PRESSURIZZATA PER INALAZIONE" FLACONE DA 100 EROGAZIONI</t>
  </si>
  <si>
    <t>PNEUMOVAX</t>
  </si>
  <si>
    <t>VACCINO PNEUMOCOCCICO</t>
  </si>
  <si>
    <t>"SOLUZIONE INIETTABILE IN FLACONCINO" 1 FLACONCINO DA 0,5 ML</t>
  </si>
  <si>
    <t>"SOLUZIONE INIETTABILE IN SIRINGA PRERIEMPITA" 1 SIRINGA PRERIEMPITA DA 0,5 ML CON 2 AGHI</t>
  </si>
  <si>
    <t>POLIOINFANRIX</t>
  </si>
  <si>
    <t>VACCINO DIFTERICO/PERTOSSICO/POLIOMELITICO/TETANICO</t>
  </si>
  <si>
    <t>"SOSPENSIONE INIETTABILE IN SIRINGA PRERIEMPITA" 1 SIRINGA DA 0,5 ML CON 1 AGO</t>
  </si>
  <si>
    <t>"SOSPENSIONE INIETTABILE IN SIRINGA PRERIEMPITA" 10 SIRINGHE DA 0,5 ML CON 10 AGHI</t>
  </si>
  <si>
    <t>POTACTASOL</t>
  </si>
  <si>
    <t>TOPOTECAN</t>
  </si>
  <si>
    <t>"4 MG - POLVERE PER CONCENTRATO PER SOLUZIONE PER INFUSIONE - USO ENDOVENOSO - FLACONCINO(VETRO) - 4 MG(1MG/ML)" 1 FLACONCINO</t>
  </si>
  <si>
    <t>POTASSIO ASPARTATO MONICO</t>
  </si>
  <si>
    <t>" 1 MEQ/ML  CONCENTRATO PER SOLUZIONE PER INFUSIONE E PER USO ORALE" 10 FIALE DA 10 ML</t>
  </si>
  <si>
    <t>MONICO S.P.A.</t>
  </si>
  <si>
    <t>" 3 MEQ/ML  CONCENTRATO PER SOLUZIONE PER INFUSIONE E PER USO ORALE" 10 FIALE DA 10 ML</t>
  </si>
  <si>
    <t>" 3 MEQ/ML  CONCENTRATO PER SOLUZIONE PER INFUSIONE" 30 FLACONCINI  DA 100 ML</t>
  </si>
  <si>
    <t>" 3 MEQ/ML  CONCENTRATO PER SOLUZIONE PER INFUSIONE" 20 FLACONCINI DA 250 ML</t>
  </si>
  <si>
    <t>POTASSIO ASPARTATO PHARMATEX</t>
  </si>
  <si>
    <t>" 3 MEQ/ 1 ML CONCENTRATO PER SOLUZIONE PER INFUSIONE E PER USO ORALE" 10 FIALE DA 10 ML</t>
  </si>
  <si>
    <t>PHARMATEX ITALIA S.R.L.</t>
  </si>
  <si>
    <t>POVIDERM</t>
  </si>
  <si>
    <t>" 1% SOLUZIONE CUTANEA " 24 FLACONI 250 ML</t>
  </si>
  <si>
    <t>" 1% SOLUZIONE CUTANEA " 20 FLACONI 500 ML</t>
  </si>
  <si>
    <t>" 1% SOLUZIONE CUTANEA " 12 FLACONI 1 LITRO</t>
  </si>
  <si>
    <t>PRADIF</t>
  </si>
  <si>
    <t>TAMSULOSINA CLORIDRATO</t>
  </si>
  <si>
    <t>"0,4 MG CAPSULE RIGIDE A RILASCIO MODIFICATO" 20 CAPSULE IN BLISTER PVC/PVDC/AL</t>
  </si>
  <si>
    <t>PRAMIPEXOLO ACCORD</t>
  </si>
  <si>
    <t>PRAMIPEXOLO</t>
  </si>
  <si>
    <t>"0,7MG - COMPRESSA - USO ORALE - BLISTER ALU/ALU (PVC)" 30 COMPRESSE</t>
  </si>
  <si>
    <t>PRAMIPEXOLO MYLAN</t>
  </si>
  <si>
    <t>"0,7 MG COMPRESSE" 30 COMPRESSE IN BLISTER AL /AL</t>
  </si>
  <si>
    <t>PRAMIPEXOLO SANDOZ GMBH</t>
  </si>
  <si>
    <t>"0,18 MG COMPRESSE" 30 COMPRESSE IN BLISTER AL/AL</t>
  </si>
  <si>
    <t>"0,7 MG COMPRESSE" 30 COMPRESSE IN BLISTER AL/AL</t>
  </si>
  <si>
    <t>PRAMIPEXOLO TEVA ITALIA</t>
  </si>
  <si>
    <t>" 1,05 MG COMPRESSE A RILASCIO PROLUNGATO" 30 COMPRESSE IN BLISTER AL/OPA-AL-PVC</t>
  </si>
  <si>
    <t>" 2,1 MG COMPRESSE A RILASCIO PROLUNGATO" 30 COMPRESSE IN BLISTER AL/OPA-AL/PVC</t>
  </si>
  <si>
    <t>PRANOFLOG</t>
  </si>
  <si>
    <t>PRANOPROFENE</t>
  </si>
  <si>
    <t>"0,1% COLLIRIO, SOLUZIONE" 1 FLACONE DA 5 ML</t>
  </si>
  <si>
    <t>PRAVASTATINA AUROBINDO</t>
  </si>
  <si>
    <t>PRAVASTATINA SODICA</t>
  </si>
  <si>
    <t>"20 MG COMPRESSE" 10 COMPRESSE IN BLISTER PA/AL/PVC/AL</t>
  </si>
  <si>
    <t>"40 MG COMPRESSE" 14 COMPRESSE IN BLISTER PA/AL/PVC/AL</t>
  </si>
  <si>
    <t>PRAVASTATINA EG</t>
  </si>
  <si>
    <t>"40 MG COMPRESSE RIVESTITE CON FILM" 14 COMPRESSE IN BLISTER PVC/PCTFE/AL</t>
  </si>
  <si>
    <t>"20 MG COMPRESSE RIVESTITE CON FILM" 10 COMPRESSE IN BLISTER PVC/PCTFE/AL</t>
  </si>
  <si>
    <t>PRAVASTATINA PENSA</t>
  </si>
  <si>
    <t>PRAVASTATINA SUN</t>
  </si>
  <si>
    <t>PRAXIS</t>
  </si>
  <si>
    <t>"50 MG COMPRESSE RIVESTITE CON FILM" 28 COMPRESSE IN BLISTER  PVC/AL</t>
  </si>
  <si>
    <t>"150 MG COMPRESSE RIVESTITE CON FILM" 28 COMPRESSE IN BLISTER PVC/AL</t>
  </si>
  <si>
    <t>PRAZENE</t>
  </si>
  <si>
    <t>PRAZEPAM</t>
  </si>
  <si>
    <t>"15 MG/ML GOCCE ORALI, SOLUZIONE" 1 FLACONE DA 20 ML</t>
  </si>
  <si>
    <t>PREDNISONE PHARMACARE</t>
  </si>
  <si>
    <t>PREDNISONE</t>
  </si>
  <si>
    <t>"5 MG COMPRESSE" 10 COMPRESSE IN BLISTER PVC-PVDC/ALU</t>
  </si>
  <si>
    <t>"5 MG COMPRESSE" 20 COMPRESSE IN BLISTER PVC-PVDC/ALU</t>
  </si>
  <si>
    <t>"25 MG COMPRESSE" 10 COMPRESSE IN BLISTER PVC-PVDC/ALU</t>
  </si>
  <si>
    <t>PREFOLIC</t>
  </si>
  <si>
    <t>CALCIO MEFOLINATO</t>
  </si>
  <si>
    <t>6 FLAC. LIOF. 50 MG+ 6 F SOLV.</t>
  </si>
  <si>
    <t>PREGABALIN AUROBINDO</t>
  </si>
  <si>
    <t>"75 MG CAPSULE RIGIDE" 56 CAPSULE IN BLISTER PVC/AL</t>
  </si>
  <si>
    <t>"300 MG CAPSULE RIGIDE" 56 CAPSULE IN BLISTER PVC/AL</t>
  </si>
  <si>
    <t>PREGABALIN HCS</t>
  </si>
  <si>
    <t>" 25 MG CAPSULE RIGIDE" 14  CAPSULE IN BLISTER PVC/PVDC/AL</t>
  </si>
  <si>
    <t>PREGABALIN SANDOZ GMBH</t>
  </si>
  <si>
    <t>25 MG - CAPSULA RIGIDA - USO ORALE - BLISTER (PVC/PVDC/ALU) - 14 CAPSULE</t>
  </si>
  <si>
    <t>75 MG - CAPSULA RIGIDA - USO ORALE - BLISTER (PVC/PVDC/ALU) - 14 CAPSULE</t>
  </si>
  <si>
    <t>75 MG - CAPSULA RIGIDA - USO ORALE - BLISTER (PVC/PVDC/ALU) - 56 CAPSULE</t>
  </si>
  <si>
    <t>150 MG - CAPSULA RIGIDA - USO ORALE - BLISTER (PVC/PVDC/ALU) - 14 CAPSULE</t>
  </si>
  <si>
    <t>150 MG - CAPSULA RIGIDA - USO ORALE - BLISTER (PVC/PVDC/ALU) - 56 CAPSULE</t>
  </si>
  <si>
    <t>300 MG - CAPSULA RIGIDA - USO ORALE - BLISTER (PVC/PVDC/ALU) - 56 CAPSULE</t>
  </si>
  <si>
    <t>PREGABALIN SUN</t>
  </si>
  <si>
    <t>"25 MG CAPSULE RIGIDE" 14 CAPSULE IN BLISTER PVC/AL</t>
  </si>
  <si>
    <t>PREGABALIN ZENTIVA</t>
  </si>
  <si>
    <t>25 MG - CAPSULA RIGIDA - USO ORALE - BLISTER (OPA/ALU/PVC/ALU) - 14 CAPSULE</t>
  </si>
  <si>
    <t>75 MG - CAPSULA RIGIDA- USO ORALE - BLISTER (PVC/ALU) - 14 CAPSULE</t>
  </si>
  <si>
    <t>75 MG - CAPSULA RIGIDA- USO ORALE - BLISTER (PVC/ALU) - 56 CAPSULE</t>
  </si>
  <si>
    <t>150 MG - CAPSULA RIGIDA- USO ORALE - BLISTER (PVC/ALU) - 56 CAPSULE</t>
  </si>
  <si>
    <t>300 MG - CAPSULA RIGIDA- USO ORALE - BLISTER (PVC/ALU) - 56 CAPSULE</t>
  </si>
  <si>
    <t>PREGABALIN ZENTIVA K.S.</t>
  </si>
  <si>
    <t>75 MG - CAPSULA RIGIDA - USO ORALE - BLISTER (PVC/ALU) - 56 CAPSULE</t>
  </si>
  <si>
    <t>PRELUD</t>
  </si>
  <si>
    <t>"100 MG COMPRESSA RIVESTITA CON FILM" 4 COMPRESSE IN BLISTER PVC/AL</t>
  </si>
  <si>
    <t>A.G.I.P.S. FARMACEUTICI SRL</t>
  </si>
  <si>
    <t>PREPACORTH</t>
  </si>
  <si>
    <t>IDROCORTISONE/BENZOCAINA</t>
  </si>
  <si>
    <t>"0,5 G/100 G + 5 G/100 G CREMA" TUBO 20 G + CANNULA</t>
  </si>
  <si>
    <t>PFIZER S.R.L.</t>
  </si>
  <si>
    <t>PREPARAZIONE H</t>
  </si>
  <si>
    <t>LIEVITO DI BIRRA</t>
  </si>
  <si>
    <t>"1,08% UNGUENTO" 1 TUBO DA 50 G</t>
  </si>
  <si>
    <t>PRESSAC</t>
  </si>
  <si>
    <t>" 10 MG COMPRESSE " 14 COMPRESSE</t>
  </si>
  <si>
    <t>FARMACEUTICI DAMOR S.P.A.</t>
  </si>
  <si>
    <t>" 5 MG COMPRESSE " 28 COMPRESSE</t>
  </si>
  <si>
    <t>PREVENAR 13</t>
  </si>
  <si>
    <t>VACCINO PNEUMOCOCCICO SACCARIDICO CONIUGATO ADSORBITO</t>
  </si>
  <si>
    <t>" SOSPENSIONE INIETTABILE-USO INTRAMUSCOLARE-SIRINGA PRERIEMPITA (VETRO) 0,5 ML " 1 SIRINGA PRERIEMPITA CON AGO A PARTE</t>
  </si>
  <si>
    <t>PREZISTA</t>
  </si>
  <si>
    <t>"400 MG COMPRESSE RIVESTITE - USO ORALE - FLACONE (HDPE)" 60 COMPRESSE</t>
  </si>
  <si>
    <t>"150 MG COMPRESSE RIVESTITE - USO ORALE - FLACONE(HDPE)" 240 COMPRESSE</t>
  </si>
  <si>
    <t>PRILAGIN</t>
  </si>
  <si>
    <t>MICONAZOLO NITRATO</t>
  </si>
  <si>
    <t>6 CAPSULE VAGINALI 400 MG</t>
  </si>
  <si>
    <t>2 CAPSULE VAGINALI 1200 MG</t>
  </si>
  <si>
    <t>PRIORIX</t>
  </si>
  <si>
    <t>VACCINO MORBILLO/PAROTITE/ROSOLIA</t>
  </si>
  <si>
    <t>"POLVERE E SOLVENTE PER SOLUZIONE INIETTABILE IN SIRINGA PRERIEMPITA" 1 FLACONCINO POLVERE + 1 SIRINGA PRERIEMPITA SOLVENTE DA 0,5 ML CON DUE AGHI</t>
  </si>
  <si>
    <t>PRIORIX TETRA</t>
  </si>
  <si>
    <t>VACCINO MORBILLO/PAROTITE/ROSOLIA/VARICELLA</t>
  </si>
  <si>
    <t>"POLVERE E SOLVENTE PER SOLUZIONE INIETTABILE" 1 FLACONCINO POLVERE + 1 SIRINGA PRERIEMPITA DI SOLVENTE DA 0.5 ML (CON 2 AGHI)</t>
  </si>
  <si>
    <t>"POLVERE E SOLVENTE PER SOLUZIONE INIETTABILE" 10 FLACONCINI POLVERE + 10 SIRINGHE PRERIEMPITE DI SOLVENTE DA 0.5 ML (CON 2 AGHI)</t>
  </si>
  <si>
    <t>PRITOR</t>
  </si>
  <si>
    <t>TELMISARTAN</t>
  </si>
  <si>
    <t>20 MG 28 COMPRESSE IN BLISTER USO ORALE</t>
  </si>
  <si>
    <t>PRIVIGEN</t>
  </si>
  <si>
    <t>"100 MG/ML - SOLUZIONE PER INFUSIONE ¿ USO ENDOVENOSO ¿ FLACONCINO(VETRO)¿  1 FLACONCINO DA 50 ML</t>
  </si>
  <si>
    <t>"100 MG/ML - SOLUZIONE PER INFUSIONE ¿ USO ENDOVENOSO ¿ FLACONCINO(VETRO)¿  1 FLACONCINO DA 100 ML</t>
  </si>
  <si>
    <t>"100 MG/ML - SOLUZIONE PER INFUSIONE ¿ USO ENDOVENOSO ¿ FLACONCINO(VETRO)¿  1 FLACONCINO DA 200 ML</t>
  </si>
  <si>
    <t>"100 MG/ML - SOLUZIONE PER INFUSIONE ¿ USO ENDOVENOSO ¿ FLACONCINO(VETRO)¿  1 FLACONCINO DA 25 ML</t>
  </si>
  <si>
    <t>PROCAINAMIDE CLORIDRATO S.A.L.F.</t>
  </si>
  <si>
    <t>PROCAINAMIDE CLORIDRATO</t>
  </si>
  <si>
    <t>"500 MG/5 ML SOLUZIONE INIETTABILE PER USO ENDOVENOSO" 5 FIALE 5 ML</t>
  </si>
  <si>
    <t>PROCTOFOAM HC</t>
  </si>
  <si>
    <t>IDROCORTISONE ACETATO + PRAMOCAINA</t>
  </si>
  <si>
    <t>"1% + 1% SCHIUMA RETTALE" BOMBOLETTA 24 G</t>
  </si>
  <si>
    <t>PROLEUKIN</t>
  </si>
  <si>
    <t>ALDESLEUCHINA</t>
  </si>
  <si>
    <t>"18.000.000 UI/ML POLVERE PER SOLUZIONE INIETTABILE O PER INFUSIONE" 1 FL ACONCINO DA 22.000.000 UI PER_x000D_
USO ENDOVENOSO O SOTTOCUTANEO;</t>
  </si>
  <si>
    <t>PROLUTON</t>
  </si>
  <si>
    <t>IDROSSIPROGESTERONE CAPROATO</t>
  </si>
  <si>
    <t>"250 MG/ML SOLUZIONE INIETTABILE A RILASCIO PROLUNGATO PER USO INTRAMUSCOLARE"1 FIALA 1 ML</t>
  </si>
  <si>
    <t>PROMETAX</t>
  </si>
  <si>
    <t>6 MG 56 CAPSULE RIGIDE IN BLISTER USO ORALE</t>
  </si>
  <si>
    <t>4,5 MG 56 CAPSULE RIGIDE IN BLISTER USO ORALE</t>
  </si>
  <si>
    <t>3 MG 56 CAPSULE RIGIDE IN BLISTER USO ORALE</t>
  </si>
  <si>
    <t>1,5 MG 56 CAPSULE RIGIDE IN BLISTER USO ORALE</t>
  </si>
  <si>
    <t>PRONTALGIN</t>
  </si>
  <si>
    <t>TRAMADOLO CLORIDRATO</t>
  </si>
  <si>
    <t>"100 MG/ML GOCCE ORALI, SOLUZIONE" 1 FLACONE DA 10 ML</t>
  </si>
  <si>
    <t>"50 MG/ML SOLUZIONE INIETTABILE" 5 FIALE DA 100 MG/2 ML</t>
  </si>
  <si>
    <t>PRONTO PLATAMINE</t>
  </si>
  <si>
    <t>"10 MG/20 ML SOLUZIONE PER INFUSIONE" 1 FLACONE 20 ML</t>
  </si>
  <si>
    <t>PHARMACHEMIE B.V.</t>
  </si>
  <si>
    <t>"25 MG/50 ML SOLUZIONE PER INFUSIONE"1 FLACONE 50 ML</t>
  </si>
  <si>
    <t>"50 MG/100 ML SOLUZIONE PER INFUSIONE"1 FLACONE 100 ML</t>
  </si>
  <si>
    <t>PROPECIA</t>
  </si>
  <si>
    <t>28 COMPRESSE FILMRIVESTITE 1 MG</t>
  </si>
  <si>
    <t>84 COMPRESSE FILMRIVESTITE 1 MG</t>
  </si>
  <si>
    <t>PROPOFOL B.BRAUN</t>
  </si>
  <si>
    <t>"1% EMULSIONE INIETTABILE O PER INFUSIONE" 10 FLACONCINI  DI VETRO DA 100 ML</t>
  </si>
  <si>
    <t>"2% EMULSIONE INIETTABILE O PER INFUSIONE" 10 FLACONCINI DI VETRO DA 50 ML</t>
  </si>
  <si>
    <t>PROPOFOL KABI</t>
  </si>
  <si>
    <t>"10MG/ML EMULSIONE INIETTABILE O PER INFUSIONE" 5 FLACONCINI DA 20 ML</t>
  </si>
  <si>
    <t>"10MG/ML EMULSIONE INIETTABILE O PER INFUSIONE" 10 FLACONCINI DA 100 ML</t>
  </si>
  <si>
    <t>"20MG/ML EMULSIONE INIETTABILE O PER INFUSIONE" 10 FLACONCINI DA 50 ML</t>
  </si>
  <si>
    <t>PROSCAR</t>
  </si>
  <si>
    <t>"5 MG COMPRESSE RIVESTITE CON FILM"15 COMPRESSE</t>
  </si>
  <si>
    <t>PROTAMINA MEDA</t>
  </si>
  <si>
    <t>PROTAMINA CLORIDRATO</t>
  </si>
  <si>
    <t>"50 MG/5 ML SOLUZIONE INIETTABILE PER USO ENDOVENOSO"1 FIALA 5 ML</t>
  </si>
  <si>
    <t>PROTELOS</t>
  </si>
  <si>
    <t>PROTROMPLEX TIM 3</t>
  </si>
  <si>
    <t>COMPLESSO PROTROMBINICO UMANO</t>
  </si>
  <si>
    <t>"600 U.I. POLVERE E SOLVENTE PER SOLUZIONE PER  INFUSIONE" 1 FLACONCINO DI POLVERE DA 600 U.I. + 1 FLACONCINO DI SOLVENTE DA 20 ML</t>
  </si>
  <si>
    <t>PROXEDOX</t>
  </si>
  <si>
    <t>CEFPODOXIMA PROXETILE</t>
  </si>
  <si>
    <t>" 100 MG COMPRESSE RIVESTITE CON FILM" 12 COMPRESSE</t>
  </si>
  <si>
    <t>"200 MG COMPRESSE RIVESTITE CON FILM" 6 COMPRESSE</t>
  </si>
  <si>
    <t>"40 MG/5 ML GRANULATO PER SOSPENSIONE ORALE " FLACONE DA 100 ML</t>
  </si>
  <si>
    <t>PROZAC</t>
  </si>
  <si>
    <t>"20 MG/5 ML SOLUZIONE ORALE" 1 FLACONE  IN VETRO DA 60 ML</t>
  </si>
  <si>
    <t>"20 MG COMPRESSE DISPERSIBILI" 28 COMPRESSE IN BLISTER PVC/PE/PCTFE/AL</t>
  </si>
  <si>
    <t>PROZIN</t>
  </si>
  <si>
    <t>CLORPROMAZINA CLORIDRATO</t>
  </si>
  <si>
    <t>"25 MG COMPRESSE RIVESTITE" 25 COMPRESSE</t>
  </si>
  <si>
    <t>"100 MG COMPRESSE RIVESTITE" 20 COMPRESSE</t>
  </si>
  <si>
    <t>PUERIFLU</t>
  </si>
  <si>
    <t>" 120 MG/ 5 ML SCIROPPO" FLACONE DA 120 ML</t>
  </si>
  <si>
    <t>PULMIST</t>
  </si>
  <si>
    <t>FLUNISOLIDE</t>
  </si>
  <si>
    <t>"250 MICROGRAMMI SOSPENSIONE PRESSURIZZATA PER INALAZIONE" BOMBOLA DA 200 EROGAZIONI</t>
  </si>
  <si>
    <t>JET 250MICROGRAMMI/DOSE SOSPENSIONE PER INALAZIONE, CONTENITORE SOTTO PRESSIONE DA 200 DOSI</t>
  </si>
  <si>
    <t>PUREGON</t>
  </si>
  <si>
    <t>FOLLITROPINA BETA</t>
  </si>
  <si>
    <t>50 UI/0,5 ML SOLUZIONE INIETTABILE 5  FLACONCINI USO IM/SC</t>
  </si>
  <si>
    <t>100 UI/0,5 ML SOLUZIONE INIETTABILE 5  FLACONCINI USO IM/SC</t>
  </si>
  <si>
    <t>QUETIAPINA ACCORD</t>
  </si>
  <si>
    <t>QUETIAPINA</t>
  </si>
  <si>
    <t>"300 MG COMPRESSE A RILASCIO PROLUNGATO" 60 COMPRESSE IN BLISTER PVC/PVDC/AL</t>
  </si>
  <si>
    <t>"200 MG COMPRESSE A RILASCIO PROLUNGATO" 60 COMPRESSE IN BLISTER PVC/PVDC/AL</t>
  </si>
  <si>
    <t>"50 MG COMPRESSE A RILASCIO PROLUNGATO" 60 COMPRESSE IN BLISTER PVC/PVDC/AL</t>
  </si>
  <si>
    <t>" 150 MG COMPRESSE A RILASCIO PROLUNGATO " 60 COMPRESSE IN BLISTER PVC/PVDC/AL</t>
  </si>
  <si>
    <t>QUETIAPINA AHCL</t>
  </si>
  <si>
    <t>QUETIAPINE</t>
  </si>
  <si>
    <t>"25 MG COMPRESSE RIVESTITE CON FILM" 30 COMPRESSE IN BLISTER PVC/AL</t>
  </si>
  <si>
    <t>"100 MG COMPRESSE RIVESTITE CON FILM" 60 COMPRESSE IN BLISTER PVC/AL</t>
  </si>
  <si>
    <t>"200 MG COMPRESSE RIVESTITE CON FILM" 60 COMPRESSE IN BLISTER PVC/AL</t>
  </si>
  <si>
    <t>"300 MG COMPRESSE RIVESTITE CON FILM" 60 COMPRESSE IN BLISTER PVC/AL</t>
  </si>
  <si>
    <t>QUETIAPINA MYLAN</t>
  </si>
  <si>
    <t>"50 MG COMPRESSE A RILASCIO PROLUNGATO" 60 COMPRESSE IN BLISTER PVC/ACLAR-AL</t>
  </si>
  <si>
    <t>"150 MG COMPRESSE A RILASCIO PROLUNGATO" 60 COMPRESSE IN BLISTER PVC/ACLAR-AL</t>
  </si>
  <si>
    <t>"200 MG COMPRESSE A RILASCIO PROLUNGATO" 60 COMPRESSE IN BLISTER PVC/ACLAR-AL</t>
  </si>
  <si>
    <t>QUETIAPINA SANDOZ BV</t>
  </si>
  <si>
    <t>QUETIAPINA FUMARATO</t>
  </si>
  <si>
    <t>"400 MG COMPRESSE A RILASCIO PROLUNGATO" 60 COMPRESSE IN BLISTER PVC/PCTFE/AL</t>
  </si>
  <si>
    <t>QUETIAPINA SANDOZ GMBH</t>
  </si>
  <si>
    <t>"300 MG COMPRESSE RIVESTITE CON FILM" 60 COMPRESSE IN BLISTER PVC/PVDC/AL</t>
  </si>
  <si>
    <t>QUIK</t>
  </si>
  <si>
    <t>"708 MG/100 ML SOSPENSIONE ORALE" 1 FLACONE 200 ML</t>
  </si>
  <si>
    <t>QUINAPRIL IDROCLOROTIAZIDE AUROBINDO</t>
  </si>
  <si>
    <t>IDROCLOROTIAZIDE + QUINAPRIL</t>
  </si>
  <si>
    <t>"20/12.5 MG COMPRESSE RIVESTITE CON FILM" 14 COMPRESSE IN BLISTER PA/AL/PV/AL</t>
  </si>
  <si>
    <t>QUINAPRIL IDROCLOROTIAZIDE SANDOZ</t>
  </si>
  <si>
    <t>"20 MG + 12,5 MG COMPRESSE RIVESTITE CON FILM" 14 COMPRESSE IN BLISTER AL/PA/PVC</t>
  </si>
  <si>
    <t>QUINAPRIL IDROCLOROTIAZIDE ZENTIVA</t>
  </si>
  <si>
    <t>QUINAPRIL ZENTIVA</t>
  </si>
  <si>
    <t>QUINAPRIL CLORIDRATO</t>
  </si>
  <si>
    <t>"5 MG COMPRESSE RIVESTITE CON FILM" 28 COMPRESSE IN BLISTER AL/AL/PA/PVC</t>
  </si>
  <si>
    <t>RABEPRAZOLO AUROBINDO</t>
  </si>
  <si>
    <t>RABEPRAZOLO SODICO</t>
  </si>
  <si>
    <t>"10 MG COMPRESSE GASTRORESISTENTI" 14 COMPRESSE IN BLISTER PA/AL/PVC/AL</t>
  </si>
  <si>
    <t>"20 MG COMPRESSE GASTRORESISTENTI" 14 COMPRESSE IN BLISTER PA/AL/PVC/AL</t>
  </si>
  <si>
    <t>RABEPRAZOLO AUROBINDO ITALIA</t>
  </si>
  <si>
    <t>"10 MG COMPRESSE GASTRORESISTENTI" 14 COMPRESSE IN BLISTER AL-OPA-PVC/AL</t>
  </si>
  <si>
    <t>RABEPRAZOLO PENSA PHARMA</t>
  </si>
  <si>
    <t>"10 MG COMPRESSE GASTRORESISTENTI" 14 COMPRESSE IN BLISTER OPA/AL/PVC/AL</t>
  </si>
  <si>
    <t>RABEPRAZOLO SUN</t>
  </si>
  <si>
    <t>"20 MG COMPRESSE GASTRORESISTENTI" 14 COMPRESSE IN BLISTER AL/PA/PE</t>
  </si>
  <si>
    <t>RABEPRAZOLO TEVA</t>
  </si>
  <si>
    <t>"10 MG COMPRESSE GASTRORESISTENTI" 14 COMPRESSE IN BLISTER AL/AL</t>
  </si>
  <si>
    <t>RABIPUR</t>
  </si>
  <si>
    <t>VACCINO RABBICO USO UMANO DA COLTURE CELLULARI</t>
  </si>
  <si>
    <t>"POLVERE E SOLVENTE PER SOLUZIONE INIETTABILE" 1 FLACONCINO POLVERE + 1 FIALA SOLVENTE DA 1 ML CON SIRINGA</t>
  </si>
  <si>
    <t>GLAXOSMITHKLINE VACCINES GMBH</t>
  </si>
  <si>
    <t>RALOXIFENE SANDOZ</t>
  </si>
  <si>
    <t>RALOXIFENE CLORIDRATO</t>
  </si>
  <si>
    <t>" 60 MG COMPRESSE RIVESTITE CON FILM" 14 COMPRESSE IN BLISTER PVC/PE/PVDC/AL</t>
  </si>
  <si>
    <t>RAMATES</t>
  </si>
  <si>
    <t>"2,5 MG COMPRESSE RIVESTITE CON FILM" 30 COMPRESSE IN BLISTER AL/PVC/PVDC</t>
  </si>
  <si>
    <t>JUST PHARMA S.R.L.</t>
  </si>
  <si>
    <t>RAMIPRIL AUROBINDO</t>
  </si>
  <si>
    <t>RAMIPRIL</t>
  </si>
  <si>
    <t>"2,5 MG COMPRESSE" 28 COMPRESSE IN BLISTER PA/AL/PVC/AL</t>
  </si>
  <si>
    <t>RAMIPRIL E IDROCLOROTIAZIDE SUN</t>
  </si>
  <si>
    <t>IDROCLOROTIAZIDE + RAMIPRIL</t>
  </si>
  <si>
    <t>"5 MG+25 MG COMPRESSE" 14 COMPRESSE IN BLISTER PVC/PE/PVDC/AL</t>
  </si>
  <si>
    <t>RAMIPRIL IDROCLOROTIAZIDE RATIOPHARM</t>
  </si>
  <si>
    <t>"5 MG/25 MG COMPRESSE" 28 COMPRESSE IN BLISTER AL/AL</t>
  </si>
  <si>
    <t>RAMIPRIL KRKA</t>
  </si>
  <si>
    <t>"5 MG COMPRESSE" 14 COMPRESSE IN BLISTER OPA/AL/PVC/AL</t>
  </si>
  <si>
    <t>RAMIPRIL RATIOPHARM</t>
  </si>
  <si>
    <t>RAMIPRIL SUN</t>
  </si>
  <si>
    <t>"2,5 MG COMPRESSE" 28 COMPRESSE IN BLISTER OPA/AL/PVC/AL</t>
  </si>
  <si>
    <t>RAMIPRIL TECNIGEN</t>
  </si>
  <si>
    <t>CELLULOSA MICROCRISTALLINA SODICA                                                                          + RAMIPRIL</t>
  </si>
  <si>
    <t>"2,5 MG COMPRESSE" 28 COMPRESSE DIVISIBILI</t>
  </si>
  <si>
    <t>"5 MG COMPRESSE" 14 COMPRESSE DIVISIBILI</t>
  </si>
  <si>
    <t>"10 MG COMPRESSE" 28 COMPRESSE DIVISIBILI</t>
  </si>
  <si>
    <t>RANEXA</t>
  </si>
  <si>
    <t>RANOLAZINA</t>
  </si>
  <si>
    <t>"500 MG - COMPRESSA A RILASCIO PROLUNGATO- USO ORALE - BLISTER (PVC/PVDC/ALLUMINIO)"  60 COMPRESSE</t>
  </si>
  <si>
    <t>RANIDIL</t>
  </si>
  <si>
    <t>"150 MG COMPRESSE EFFERVESCENTI" 20 COMPRESSE</t>
  </si>
  <si>
    <t>"300 MG COMPRESSE EFFERVESCENTI" 10 COMPRESSE</t>
  </si>
  <si>
    <t>RANITIDINA AUROBINDO</t>
  </si>
  <si>
    <t>" 150 MG COMPRESSE RIVESTITE CON FILM " 20 COMPRESSE IN BLISTER ALU/ALU</t>
  </si>
  <si>
    <t>RANITIDINA AUROBINDO ITALIA</t>
  </si>
  <si>
    <t>"150 MG COMPRESSE RIVESTITE CON FILM" 20 COMPRESSE IN BLISTER PA/AL/PVC-AL</t>
  </si>
  <si>
    <t>"300 MG COMPRESSE RIVESTITE CON FILM" 20 COMPRESSE IN BLISTER PA/AL/PVC-AL</t>
  </si>
  <si>
    <t>RANITIDINA GIT</t>
  </si>
  <si>
    <t>" 150 MG COMPRESSE RIVESTITE CON FILM" 20 CPR</t>
  </si>
  <si>
    <t>" 300 MG COMPRESSE RIVESTITE CON FILM" 20 CPR</t>
  </si>
  <si>
    <t>RANITIDINA RATIOPHARM</t>
  </si>
  <si>
    <t>RANITIDINA</t>
  </si>
  <si>
    <t>"150 MG COMPRESSE RIVESTITE CON FILM" 20 COMPRESSE IN BLISTER AL/AL</t>
  </si>
  <si>
    <t>"150 MG COMPRESSE RIVESTITE CON FILM" 30 COMPRESSE IN BLISTER AL/AL</t>
  </si>
  <si>
    <t>"300 MG COMPRESSE RIVESTITE CON FILM" 20 COMPRESSE IN BLISTER AL/AL</t>
  </si>
  <si>
    <t>"300 MG COMPRESSE RIVESTITE CON FILM" 30 COMPRESSE IN BLISTER AL/AL</t>
  </si>
  <si>
    <t>RANITIDINA SUN</t>
  </si>
  <si>
    <t>20 COMPRESSE IN BLISTER DA 2 DA 300 MG</t>
  </si>
  <si>
    <t>RANITIDINA ZENTIVA</t>
  </si>
  <si>
    <t>" 150 MG COMPRESSE RIVESTITE CON FILM" 20 COMPRESSE</t>
  </si>
  <si>
    <t>" 300 MG COMPRESSE RIVESTITE CON FILM" 20 COMPRESSE</t>
  </si>
  <si>
    <t>RATACAND PLUS</t>
  </si>
  <si>
    <t>CANDESARTAN CILEXETIL + IDROCLOROTIAZIDE</t>
  </si>
  <si>
    <t>"32 MG/12,5 MG COMPRESSE" 28 COMPRESSE IN BLISTER  PVC/PVDC</t>
  </si>
  <si>
    <t>"32 MG/25 MG COMPRESSE" 28 COMPRESSE IN BLISTER PVC/PVDC</t>
  </si>
  <si>
    <t>RATIOGRASTIM</t>
  </si>
  <si>
    <t>30 MUI (300 MCG/0,5ML) SOLUZIONE INIETTABILE O PER INFUSIONE-USO SOTTOCUTANEO O ENDOVENOSO -SIRINGA PRERIEMPITA (VETRO) 0,5 ML 1 SIRINGA PRERIEMPITA</t>
  </si>
  <si>
    <t>REBETOL</t>
  </si>
  <si>
    <t>200 MG 84 CAPSULE RIGIDE IN BLISTER</t>
  </si>
  <si>
    <t>200 MG 140 CAPSULE RIGIDE IN BLISTER</t>
  </si>
  <si>
    <t>Il medicinale sarà in cessata commercializzazione permanente a partire da dicembre 2021</t>
  </si>
  <si>
    <t>200 MG 168 CAPSULE RIGIDE IN BLISTER</t>
  </si>
  <si>
    <t>RECTOREPARIL</t>
  </si>
  <si>
    <t>TETRACAINA/ESCINA</t>
  </si>
  <si>
    <t>"45 MG + 5 MG SUPPOSTE" 10 SUPPOSTE</t>
  </si>
  <si>
    <t>"4,5% + 0,5% CREMA"  TUBO 40 G + 1 APPLICATORE</t>
  </si>
  <si>
    <t>REDOFF</t>
  </si>
  <si>
    <t>FLUOROMETOLONE + TETRIZOLINA CLORIDRATO</t>
  </si>
  <si>
    <t>" 0,2 % + 0,1% COLLIRIO, SOSPENSIONE " FLACONE 5 ML</t>
  </si>
  <si>
    <t>REFACTO AF</t>
  </si>
  <si>
    <t>"250 UI POLVERE E SOLVENTE PER SOLUZIONE INIETTABILE" 1 FLACONE POLVERE + 1 FLACONE SOLVENTE 4 ML + ACCESSORI USO ENDOVENOSO</t>
  </si>
  <si>
    <t>"500 UI POLVERE E SOLVENTE PER SOLUZIONE INIETTABILE" 1 FLACONE POLVERE + 1 FLACONE SOLVENTE 4 ML + ACCESSORI USO ENDOVENOSO</t>
  </si>
  <si>
    <t>REKORD FERRO</t>
  </si>
  <si>
    <t>FERRIPROTINATO</t>
  </si>
  <si>
    <t>"40 MG/15 ML SOLUZIONE ORALE" 10 CONTENITORI MONODOSE DA 15 ML</t>
  </si>
  <si>
    <t>REOFLUS</t>
  </si>
  <si>
    <t>"12500 UI/0,5 ML SOLUZIONE INIETTABILE" 10 SIRINGHE PRERIEMPITE 0,5 ML</t>
  </si>
  <si>
    <t>REOPRO</t>
  </si>
  <si>
    <t>ABCIXIMAB</t>
  </si>
  <si>
    <t>1 FLACONE 10 MG/5 ML</t>
  </si>
  <si>
    <t>JANSSEN BIOLOGICS B.V.</t>
  </si>
  <si>
    <t>REPAGLINIDE AUROBINDO</t>
  </si>
  <si>
    <t>"2 MG COMPRESSE" 90 COMPRESSE IN BLISTER PA/AL/PVC-AL</t>
  </si>
  <si>
    <t>REPAGLINIDE KRKA</t>
  </si>
  <si>
    <t>REPAGLINIDE PENSA</t>
  </si>
  <si>
    <t>"0,5 MG BLISTER IN OPA/AL/PVC/AL" 90 COMPRESSE</t>
  </si>
  <si>
    <t>REPITA</t>
  </si>
  <si>
    <t>" 2 G + 250 MG/4 ML POLVERE E SOLVENTE PER SOLUZIONE INIETTABILE PER USO INTRAMUSCOLARE" 1 FLACONCINO POLVERE + 1 FIALA SOLVENTE 4 ML</t>
  </si>
  <si>
    <t>RETACRIT</t>
  </si>
  <si>
    <t>EPOETINA ZETA</t>
  </si>
  <si>
    <t>"8000 UI/0,8 ML SOLUZIONE INIETTABILE - USO SOTTOCUTANEO O ENDOVENOSO - SIRINGA PRERIEMPITA (VETRO) 0,8 ML (10000 UI/ML)" 1 SIRINGA PRERIEMPITA</t>
  </si>
  <si>
    <t>"6000 UI/0,6 ML SOLUZIONE INIETTABILE - USO SOTTOCUTANEO O ENDOVENOSO - SIRINGA PRERIEMPITA (VETRO) 0,6 ML (10000 UI/ML)" 1 SIRINGA PRERIEMPITA</t>
  </si>
  <si>
    <t>"5000 UI/0,5 ML SOLUZIONE INIETTABILE - USO SOTTOCUTANEO O ENDOVENOSO - SIRINGA PRERIEMPITA (VETRO) 0,5 ML (10000 UI/ML)" 1 SIRINGA PRERIEMPITA</t>
  </si>
  <si>
    <t>"40000 UI/1,0 ML SOLUZIONE INIETTABILE - USO SOTTOCUTANEO O ENDOVENOSO - SIRINGA PRERIEMPITA (VETRO) 1,0 ML (40000 UI/ML)" 1 SIRINGA PRERIEMPITA</t>
  </si>
  <si>
    <t>"4000 UI/0,4 ML SOLUZIONE INIETTABILE - USO SOTTOCUTANEO O ENDOVENOSO - SIRINGA PRERIEMPITA (VETRO) 0,4 ML (10000 UI/ML)" 1 SIRINGA PRERIEMPITA</t>
  </si>
  <si>
    <t>"30000 UI/0,75 ML SOLUZIONE INIETTABILE - USO SOTTOCUTANEO O ENDOVENOSO - SIRINGA PRERIEMPITA (VETRO) 0,75 ML (40000 UI/ML)" 1 SIRINGA PRERIEMPITA</t>
  </si>
  <si>
    <t>"3000 UI/0,9 ML SOLUZIONE INIETTABILE - USO SOTTOCUTANEO O ENDOVENOSO - SIRINGA PRERIEMPITA (VETRO) 0,9 ML (3333 UI/ML)" 1 SIRINGA PRERIEMPITA</t>
  </si>
  <si>
    <t>"20000 UI/0,5 ML SOLUZIONE INIETTABILE - USO SOTTOCUTANEO O ENDOVENOSO - SIRINGA PRERIEMPITA (VETRO) 0,5 ML (40000 UI/ML)" 1 SIRINGA PRERIEMPITA</t>
  </si>
  <si>
    <t>"2000 UI/0,6 ML SOLUZIONE INIETTABILE - USO SOTTOCUTANEO O ENDOVENOSO - SIRINGA PRERIEMPITA (VETRO) 0,6 ML (3333 UI/ML)" 1 SIRINGA PRERIEMPITA</t>
  </si>
  <si>
    <t>1000 IU/0,3 ML - SOLUZIONE INIETTABILE- USO SOTTOCUTANEO O ENDOVENOSO - SIRINGA PRERIEMPITA (VETRO) CON PROTEZIONE DELL''AGO 0.3 ML (3333IU/ML) - 1</t>
  </si>
  <si>
    <t>3000 IU/0,9 ML - SOLUZIONE INIETTABILE - USO SOTTOCUTANEO O ENDOVENOSO - SIRINGA PRERIEMPITA (VETRO) CON PROTEZIONE DELL''AGO 0.9 ML (3333IU/ML) - 1 SIRINGA PRERIEMPITA</t>
  </si>
  <si>
    <t>5000 IU/0,5 ML - SOLUZIONE INIETTABILE - USO SOTTOCUTANEO O ENDOVENOSO - SIRINGA PRERIEMPITA (VETRO) CON PROTEZIONE DELL''AGO 0.5 ML (10000IU/ML) - 1 SIRINGA PRERIEMPITA</t>
  </si>
  <si>
    <t>6000 IU/0,6 ML - SOLUZIONE INIETTABILE - USO SOTTOCUTANEO O ENDOVENOSO - SIRINGA PRERIEMPITA (VETRO) CON PROTEZIONE DELL''AGO 0.6 ML (10000IU/ML) - 1 SIRINGA PRERIEMPITA</t>
  </si>
  <si>
    <t>20000 IU/0,5 ML - SOLUZIONE INIETTABILE - USO SOTTOCUTANEO O ENDOVENOSO - SIRINGA PRERIEMPITA (VETRO) CON PROTEZIONE DELL''AGO 0,5 ML (40000IU/ML) - 1</t>
  </si>
  <si>
    <t>30000 IU/0,75 ML - SOLUZIONE INIETTABILE - USO SOTTOCUTANEO O ENDOVENOSO - SIRINGA PRERIEMPITA (VETRO) CON PROTEZIONE DELL''AGO 0,75 ML (40000IU/ML) - 1 SIRINGA PRERIEMPITA</t>
  </si>
  <si>
    <t>40000 IU/1,0 ML - SOLUZIONE INIETTABILE - USO SOTTOCUTANEO O ENDOVENOSO - SIRINGA PRERIEMPITA (VETRO) CON PROTEZIONE DELL''AGO 1,0 ML (40000IU/ML) - 1 SIRINGA PRERIEMPITA</t>
  </si>
  <si>
    <t>"10000 UI/1,0 ML SOLUZIONE INIETTABILE - USO SOTTOCUTANEO O ENDOVENOSO - SIRINGA PRERIEMPITA (VETRO) 1,0 ML (10000 UI/ML)" 1 SIRINGA PRERIEMPITA</t>
  </si>
  <si>
    <t>"1000 UI/0,3 ML SOLUZIONE INIETTABILE - USO SOTTOCUTANEO O ENDOVENOSO SIRINGA PRERIEMPITA (VETRO) 0,3 ML(3333UI/ML)" 1 SIRINGA PRERIEMPITA</t>
  </si>
  <si>
    <t>4000 IU/0,4 ML - SOLUZIONE INIETTABILE - USO SOTTOCUTANEO O ENDOVENOSO - SIRINGA PRERIEMPITA (VETRO) CON PROTEZIONE DELL''AGO 0.4 ML (10000IU/ML) - 1 SIRINGA PRERIEMPITA</t>
  </si>
  <si>
    <t>10000 IU/1,0 ML - SOLUZIONE INIETTABILE - USO SOTTOCUTANEO O ENDOVENOSO - SIRINGA PRERIEMPITA (VETRO) CON PROTEZIONE DELL''AGO 1,0 ML (10000IU/ML) - 1 SIRINGA PRERIEMPITA</t>
  </si>
  <si>
    <t>RIBAVIRINA MYLAN</t>
  </si>
  <si>
    <t>" 200 MG-CAPSULE RIGIDE-USO ORALE-FLACONCINO(HDPE) " 168 CAPSULE</t>
  </si>
  <si>
    <t>RIBAVIRINA TEVA</t>
  </si>
  <si>
    <t>"200 MG -CAPSULE RIGIDE -USO ORALE-BLISTER (PVC/PE/PVDC)"84 CAPSULE</t>
  </si>
  <si>
    <t>"200 MG -CAPSULE RIGIDE -USO ORALE-BLISTER (PVC/PE/PVDC)"168 CAPSULE</t>
  </si>
  <si>
    <t>RIBAVIRINA TEVA PHARMA BV</t>
  </si>
  <si>
    <t>"400 MG-COMPRESSA RIVESTITA CON FILM-USO ORALE-BLISTER(PVC/PE/PVAC)" 56 COMPRESSE</t>
  </si>
  <si>
    <t>RIDUTOX</t>
  </si>
  <si>
    <t>RIFACOL</t>
  </si>
  <si>
    <t>"2G/100 ML GRANULATO PER SOSPENSIONE ORALE"  FLACONE 60 ML</t>
  </si>
  <si>
    <t>RIFINAH</t>
  </si>
  <si>
    <t>RIFAMPICINA/ISONIAZIDE</t>
  </si>
  <si>
    <t>"300 MG/150 MG COMPRESSE RIVESTITE" 24 COMPRESSE</t>
  </si>
  <si>
    <t>RILUTEK</t>
  </si>
  <si>
    <t>RILUZOLO</t>
  </si>
  <si>
    <t>56 CPR RIVESTITE 50 MG</t>
  </si>
  <si>
    <t>SANOFI MATURE IP</t>
  </si>
  <si>
    <t>RILUZOLO AUROBINDO</t>
  </si>
  <si>
    <t>"50 MG COMPRESSE RIVESTITE CON FILM" 56 COMPRESSE IN BLISTER AL/PVC</t>
  </si>
  <si>
    <t>RILUZOLO SANDOZ</t>
  </si>
  <si>
    <t>"50 MG COMPRESSE RIVESTITE CON FILM" 56 COMPRESSE IN BLISTER PVC/AL</t>
  </si>
  <si>
    <t>RIPOL</t>
  </si>
  <si>
    <t>"10 MG/ML EMULSIONE INIETTABILE O PER INFUSIONE" 1 FLACONCINO IN VETRO DA 50 ML</t>
  </si>
  <si>
    <t>"20 MG/ML EMULSIONE INIETTABILE O PER INFUSIONE" 1 FLACONCINO IN VETRO DA 50 ML</t>
  </si>
  <si>
    <t>RISEDRONATO RANBAXY</t>
  </si>
  <si>
    <t>RISEDRONATE SODIUM</t>
  </si>
  <si>
    <t>" 35 MG COMPRESSE RIVESTITE CON FILM " 4 COMPRESSE IN BLISTER PA/ALU/PVC</t>
  </si>
  <si>
    <t>RISEDRONATO SANDOZ GMBH</t>
  </si>
  <si>
    <t>"75 MG COMPRESSE RIVESTITE CON FILM" 2 COMPRESSE IN BLISTER PVC/PVDC-AL</t>
  </si>
  <si>
    <t>RISPERIDONE AHCL</t>
  </si>
  <si>
    <t>RISPERIDONE</t>
  </si>
  <si>
    <t>" 1 MG COMPRESSE RIVESTITE CON FILM " 60 COMPRESSE IN BLISTER PVC/PVDC/AL</t>
  </si>
  <si>
    <t>" 2 MG COMPRESSE RIVESTITE CON FILM " 60 COMPRESSE IN BLISTER PVC/PVDC/AL</t>
  </si>
  <si>
    <t>" 3 MG COMPRESSE RIVESTITE CON FILM " 60 COMPRESSE IN BLISTER PVC/PVDC/AL</t>
  </si>
  <si>
    <t>" 4 MG COMPRESSE RIVESTITE CON FILM " 60 COMPRESSE IN BLISTER PVC/PVDC/AL</t>
  </si>
  <si>
    <t>RISPERIDONE AUROBINDO</t>
  </si>
  <si>
    <t>"1 MG COMPRESSE RIVESTITE CON FILM" 60 COMPRESSE IN BLISTER PVC/PE/PVDC/AL</t>
  </si>
  <si>
    <t>RISPERIDONE AUROBINDO PHARMA ITALIA</t>
  </si>
  <si>
    <t>"1 MG/ML SOLUZIONE ORALE" 1 FLACONE IN VETRO DA 100 ML CON CHIUSURA A PROVA DI BAMBINO CON SIRINGA PER SOMMINISTRAZIONE ORALE DA 3 ML CON ADATTATORE</t>
  </si>
  <si>
    <t>RISPERIDONE SANDOZ</t>
  </si>
  <si>
    <t>"3 MG COMPRESSE RIVESTITE CON FILM" 60 COMPRESSE IN BLISTER PVC/PE/PVDC/AL</t>
  </si>
  <si>
    <t>RIVASTIGMINA AUROBINDO</t>
  </si>
  <si>
    <t>"3 MG CAPSULE RIGIDE" 56 CAPSULE IN BLISTER PVC/PE/PVDC-AL</t>
  </si>
  <si>
    <t>RIXIL</t>
  </si>
  <si>
    <t>VALSARTAN</t>
  </si>
  <si>
    <t>"80 MG COMPRESSE RIVESTITE CON FILM" 28 COMPRESSE IN BLISTER CALENDARIO  PVC/PE/PVDC/AL</t>
  </si>
  <si>
    <t>"40 MG COMPRESSE RIVESTITE CON FILM" 14 COMPRESSE IN BLISTER  CALENDARIO PVC/PE/PVDC/AL</t>
  </si>
  <si>
    <t>"160 MG COMPRESSE RIVESTITE CON FILM" 28 COMPRESSE  IN BLISTER  CALENDARIO PVC/PE/PVDC/AL</t>
  </si>
  <si>
    <t>RIXUBIS</t>
  </si>
  <si>
    <t>1000 UI - POLVERE E SOLVENTE PER SOLUZIONE INIETTABILE - USO ENDOVENOSO - FLACONCINO (VETRO) 1000UI 5 ML (200UI/ML) - 1 FLACONCINO</t>
  </si>
  <si>
    <t>2000 UI - POLVERE E SOLVENTE PER SOLUZIONE INIETTABILE - USO ENDOVENOSO - FLACONCINO (VETRO) 2000UI 5 ML (400UI/ML) - 1 FLACONCINO</t>
  </si>
  <si>
    <t>RIZATRIPTAN AUROBINDO</t>
  </si>
  <si>
    <t>RIZATRIPTAN</t>
  </si>
  <si>
    <t>"10 MG COMPRESSE ORODISPERSIBILI" 6 COMPRESSE IN BLISTER PA/AL/PVC/AL</t>
  </si>
  <si>
    <t>RIZATRIPTAN TEVA</t>
  </si>
  <si>
    <t>" 10 MG COMPRESSE ORODISPERSIBILI " 6 COMPRESSE IN BLISTER OPA/AL/PVC/AL</t>
  </si>
  <si>
    <t>RIZEN</t>
  </si>
  <si>
    <t>CLOTIAZEPAM</t>
  </si>
  <si>
    <t>"5 MG COMPRESSE" 40 COMPRESSE</t>
  </si>
  <si>
    <t>"10 MG COMPRESSE" 30 COMPRESSE</t>
  </si>
  <si>
    <t>"10 MG/ML GOCCE ORALI, SOLUZIONE" FLACONE 20 ML</t>
  </si>
  <si>
    <t>ROACTEMRA</t>
  </si>
  <si>
    <t>TOCILIZUMAB</t>
  </si>
  <si>
    <t>162 MG - SOLUZIONE INIETTABILE - USO SOTTOCUTANEO - SIRINGA PRERIEMPITA 0,9ML (VETRO) - 4 SIRINGHE PRERIEMPITE</t>
  </si>
  <si>
    <t>ROCEFIN</t>
  </si>
  <si>
    <t>ROCURONIO B.BRAUN</t>
  </si>
  <si>
    <t>"10 MG/ML SOLUZIONE INIETTABILE O PER INFUSIONE" 20 FIALE IN LDPE DA 5 ML</t>
  </si>
  <si>
    <t>ROPINIROLO EG</t>
  </si>
  <si>
    <t>ROPINIROLO CLORIDRATO</t>
  </si>
  <si>
    <t>"0,25 MG COMPRESSE RIVESTITE CON FILM" 21 COMPRESSE IN FLACONE HDPE</t>
  </si>
  <si>
    <t>"0,5 MG COMPRESSE RIVESTITE CON FILM" 21 COMPRESSE IN FLACONE HDPE</t>
  </si>
  <si>
    <t>"1 MG COMPRESSE RIVESTITE CON FILM" 21 COMPRESSE IN FLACONE HDPE</t>
  </si>
  <si>
    <t>"2 MG COMPRESSE RIVESTITE CON FILM" 21 COMPRESSE IN FLACONE HDPE</t>
  </si>
  <si>
    <t>"5 MG COMPRESSE RIVESTITE CON FILM" 21 COMPRESSE IN FLACONE HDPE</t>
  </si>
  <si>
    <t>"0,25 MG COMPRESSE RIVESTITE CON FILM" 21 COMPRESSE IN BLISTER AL/AL</t>
  </si>
  <si>
    <t>ROPINIROLO</t>
  </si>
  <si>
    <t>"5 MG COMPRESSE RIVESTITE CON FILM" 21 COMPRESSE IN BLISTER AL/AL</t>
  </si>
  <si>
    <t>ROPINIROLO MYLAN GENERICS</t>
  </si>
  <si>
    <t>"1 MG COMPRESSE RIVESTITE CON FILM" 21 COMPRESSE IN CONTENITORE HDPE</t>
  </si>
  <si>
    <t>ROPIVACAINA MOLTENI</t>
  </si>
  <si>
    <t>ROPIVACAINA</t>
  </si>
  <si>
    <t>"2 MG/ML SOLUZIONE INIETTABILE" 5 FIALE PP DA 20 ML</t>
  </si>
  <si>
    <t>"7.5 MG/ML SOLUZIONE INIETTABILE" 5 FIALE PP DA 20 ML</t>
  </si>
  <si>
    <t>"10 MG/ML SOLUZIONE INIETTABILE" 5 FIALE PP DA 20 ML</t>
  </si>
  <si>
    <t>ROSSITROL</t>
  </si>
  <si>
    <t>ROXITROMICINA</t>
  </si>
  <si>
    <t>"BAMBINI 50 MG COMPRESSE DISPERSIBILI" 12 COMPRESSE</t>
  </si>
  <si>
    <t>ROSUVASTATINA AUROBINDO</t>
  </si>
  <si>
    <t>"5 MG COMPRESSE RIVESTITE CON FILM" 28 COMPRESSE IN BLISTER PA/AL/PVC/AL</t>
  </si>
  <si>
    <t>"20 MG COMPRESSE RIVESTITE CON FILM" 28 COMPRESSE IN BLISTER PA/AL/PVC/AL</t>
  </si>
  <si>
    <t>ROTARIX</t>
  </si>
  <si>
    <t>VACCINO VIVO ATTENUATO ANTI ROTAVIRUS</t>
  </si>
  <si>
    <t>"SOSPENSIONE ORALE - USO ORALE - APPLICATORE ORALE PRERIEMPITO (VETRO) 1,5 ML" 1 APPLICATORE ORALE</t>
  </si>
  <si>
    <t>ROZEIOND</t>
  </si>
  <si>
    <t>"10 MG/10 MG COMPRESSE RIVESTITE CON FILM" 30 COMPRESSE IN BLISTER OPA/AL/PVC/AL</t>
  </si>
  <si>
    <t>"20 MG/10 MG COMPRESSE RIVESTITE CON FILM" 30 COMPRESSE IN BLISTER OPA/AL/PVC/AL</t>
  </si>
  <si>
    <t>ROZEX</t>
  </si>
  <si>
    <t>" 0,75% GEL"TUBO 30 G</t>
  </si>
  <si>
    <t>RUCONEST</t>
  </si>
  <si>
    <t>CONESTAT ALFA</t>
  </si>
  <si>
    <t>"2100 U - POLVERE PER SOLUZIONE INIETTABILE - USO ENDOVENOSO - FLACONCINO(VETRO)" 1 FLACONCINO DA 2100 U</t>
  </si>
  <si>
    <t>PHARMING GROUP N. V.</t>
  </si>
  <si>
    <t>RULID</t>
  </si>
  <si>
    <t>SABRIL</t>
  </si>
  <si>
    <t>VIGABATRIN</t>
  </si>
  <si>
    <t>«500 MG COMPRESSE RIVESTITE CON  FILM» 50 COMPRESSE</t>
  </si>
  <si>
    <t>SAIZEN</t>
  </si>
  <si>
    <t>1,33 MG - 1 FLACONE LIOFILIZZATO + 1 FIALA SOLVENTE</t>
  </si>
  <si>
    <t>SALAZOPYRIN EN</t>
  </si>
  <si>
    <t>SULFASALAZINA</t>
  </si>
  <si>
    <t>"500 MG COMPRESSE GASTRORESISTENTI" FLACONE IN HDPE DA 100 COMPRESSE</t>
  </si>
  <si>
    <t>SALONPAS</t>
  </si>
  <si>
    <t>METILE SALICILATO/MENTOLO/CANFORA</t>
  </si>
  <si>
    <t>"CEROTTI MEDICATI" 10 CEROTTI PICCOLI</t>
  </si>
  <si>
    <t>HISAMITSU ITALIA SRL</t>
  </si>
  <si>
    <t>"CEROTTI MEDICATI" 2 CEROTTI LARGHI</t>
  </si>
  <si>
    <t>SALVITUSS</t>
  </si>
  <si>
    <t>"30 MG/5 ML SCIROPPO" 1 FLACONE DA 200 ML CON MISURINO DOSATORE</t>
  </si>
  <si>
    <t>"60 MG/ML GOCCE ORALI, SOLUZIONE" 1 FLACONE 30 ML</t>
  </si>
  <si>
    <t>SAMPER</t>
  </si>
  <si>
    <t>SANCUSO</t>
  </si>
  <si>
    <t>GRANISETRON</t>
  </si>
  <si>
    <t>3,1 MG/2 H - CEROTTO TRANSDERMICO - USO TRANSDERMICO - BUSTINA (CARTA RIVESTITA /ALLUMINIO/LLDPE)- 1 CEROTTO</t>
  </si>
  <si>
    <t>SANDIMMUN</t>
  </si>
  <si>
    <t>"100 MG/ML SOLUZIONE ORALE" FLACONE 50 ML + 2 SIRINGHE</t>
  </si>
  <si>
    <t>SANDOMIGRAN</t>
  </si>
  <si>
    <t>PIZOTIFENE MALEATO</t>
  </si>
  <si>
    <t>"0,5 MG COMPRESSE RIVESTITE" 20 COMPRESSE</t>
  </si>
  <si>
    <t>SANDOSTATINA</t>
  </si>
  <si>
    <t>"1000 MICROGRAMMI/5ML SOLUZIONE INIETTABILE/ INFUSIONE" 1 FLACONCINO DA 5ML</t>
  </si>
  <si>
    <t>SANIFOLIN</t>
  </si>
  <si>
    <t>"50 MG POLVERE PER SOLUZIONE INIETTABILE"1 FLACONE</t>
  </si>
  <si>
    <t>FAR.G.IM. S.R.L.</t>
  </si>
  <si>
    <t>SANIPIRINA</t>
  </si>
  <si>
    <t>"500 MG COMPRESSE" 30 COMPRESSE</t>
  </si>
  <si>
    <t>" 500 MG COMPRESSE " 20 COMPRESSE</t>
  </si>
  <si>
    <t>SEBIVO</t>
  </si>
  <si>
    <t>TELBIVUDINA</t>
  </si>
  <si>
    <t>"600 MG COMPRESSA RIVESTITA CON FILM - USO ORALE" BLISTER (PVC/ALU 28 COMPRESSE</t>
  </si>
  <si>
    <t>SECRETIL</t>
  </si>
  <si>
    <t>"30 MG/4 ML SOLUZIONE DA NEBULIZZARE" 20 MONODOSE DA 4 ML</t>
  </si>
  <si>
    <t>SECURGIN</t>
  </si>
  <si>
    <t>ETINILESTRADIOLO/DESOGESTREL</t>
  </si>
  <si>
    <t>"0.15 MG + 0.02 MG COMPRESSE" 6 BLISTER 21 CPR</t>
  </si>
  <si>
    <t>SELECTIN</t>
  </si>
  <si>
    <t>"20 MG COMPRESSE" 10 COMPRESSE IN BLISTER PVC/PE/PVDC/AL</t>
  </si>
  <si>
    <t>"40 MG COMPRESSE" 14 COMPRESSE IN BLISTER PVC/PE/PVDC/AL</t>
  </si>
  <si>
    <t>SELESYN</t>
  </si>
  <si>
    <t>SODIO SELENIATO PENTAIDRATO</t>
  </si>
  <si>
    <t>"500 MCG SOLUZIONE INIETTABILE" 10 FLACONCINI  DA 500 MCG/10 ML</t>
  </si>
  <si>
    <t>BIOSYN ARZNEIMITTEL GMBH</t>
  </si>
  <si>
    <t>"100 MCG SOLUZIONE ORALE" 20 FIALE DA 100 MCG/2 ML</t>
  </si>
  <si>
    <t>"100 MCG SOLUZIONE INIETTABILE" 10 FIALE DA 100 MCG/2 ML</t>
  </si>
  <si>
    <t>SENSHIO</t>
  </si>
  <si>
    <t>OSPEMIFENE</t>
  </si>
  <si>
    <t>60 MG - COMPRESSA RIVESTITA CON FILM - USO ORALE  - BLISTER (PVC/PVDC-ALLUMINIO) - 28  COMPRESSE</t>
  </si>
  <si>
    <t>SHIONOGI BV</t>
  </si>
  <si>
    <t>SERENASE</t>
  </si>
  <si>
    <t>ALOPERIDOLO</t>
  </si>
  <si>
    <t>"2 MG/2 ML SOLUZIONE INIETTABILE PER USO INTRAMUSCOLARE" 5 FIALE DA 2 ML</t>
  </si>
  <si>
    <t>"5 MG/2 ML SOLUZIONE INIETTABILE PER USO INTRAMUSCOLARE" 5 FIALE DA 2 ML</t>
  </si>
  <si>
    <t>"10 MG COMPRESSE" 20 COMPRESSE</t>
  </si>
  <si>
    <t>SEROPRAM</t>
  </si>
  <si>
    <t>"40 MG/ML CONCENTRATO PER SOLUZIONE PER INFUSIONE " 10 FIALE 1 ML</t>
  </si>
  <si>
    <t>SERPAX</t>
  </si>
  <si>
    <t>OXAZEPAM</t>
  </si>
  <si>
    <t>"30 MG COMPRESSE"20 COMPRESSE</t>
  </si>
  <si>
    <t>SERTAM</t>
  </si>
  <si>
    <t>"20 MG COMPRESSE " 20 COMPRESSE</t>
  </si>
  <si>
    <t>GB PHARMA S.R.L.</t>
  </si>
  <si>
    <t>"20 MG COMPRESSE" 60 COMPRESSE IN BLISTER PVC/PVDC/AL</t>
  </si>
  <si>
    <t>SERTRALINA SUN</t>
  </si>
  <si>
    <t>SERTRALINA CLORIDRATO</t>
  </si>
  <si>
    <t>"50 MG COMPRESSE RIVESTITE CON FILM " 30 COMPRESSE IN BLISTER PVC/PVDC/AL</t>
  </si>
  <si>
    <t>"100 MG COMPRESSE RIVESTITE CON FILM " 30 COMPRESSE IN BLISTER PVC/PVDC/AL</t>
  </si>
  <si>
    <t>SEVIKAR</t>
  </si>
  <si>
    <t>AMLODIPINA + OLMESARTAN MEDOXOMIL</t>
  </si>
  <si>
    <t>"20MG/5MG COMPRESSE RIVESTITE CON FILM" 28 COMPRESSE IN BLISTER OPA/AL/PVC/AL</t>
  </si>
  <si>
    <t>DAIICHI SANKYO ITALIA S.P.A.</t>
  </si>
  <si>
    <t>"40MG/5MG COMPRESSE RIVESTITE CON FILM" 28 COMPRESSE IN BLISTER OPA/AL/PVC/AL</t>
  </si>
  <si>
    <t>"40MG/10MG COMPRESSE RIVESTITE CON FILM" 28 COMPRESSE IN BLISTER OPA/AL/PVC/AL</t>
  </si>
  <si>
    <t>SEVITREX</t>
  </si>
  <si>
    <t>AMLODIPINA BESILATO + IDROCLOROTIAZIDE + OLMESARTAN MEDOXOMIL/IDROCLOROTIAZIDE</t>
  </si>
  <si>
    <t>"20 MG/5MG/12,5 MG COMPRESSE RIVESTITE CON FILM" 28 COMPRESSE IN BLISTER PA/AL/PVC/AL</t>
  </si>
  <si>
    <t>SIFRAMIN</t>
  </si>
  <si>
    <t>"4 % SOLUZIONE PER INFUSIONE" 20 FLACONI 500 ML</t>
  </si>
  <si>
    <t>SIGMACILLINA</t>
  </si>
  <si>
    <t>BENZILPENICILLINA BENZATINICA</t>
  </si>
  <si>
    <t>"1.200.000 UI  POLVERE PER SOSPENSIONE INIETTABILE PER USO INTRAMUSCOLARE "50 FLACONCINI</t>
  </si>
  <si>
    <t>"1.200.000 UI/2,5 ML SOSPENSIONE INIETTABILE PER USO INTRAMUSCOLARE "  1 SIRINGA PRERIEMPITA DA 2,5 ML</t>
  </si>
  <si>
    <t>SILDENAFIL AUROBINDO</t>
  </si>
  <si>
    <t>"50 MG COMPRESSE RIVESTITE CON FILM"  4 COMPRESSE IN BLISTER PVC/PVDC-AL</t>
  </si>
  <si>
    <t>"50 MG COMPRESSE RIVESTITE CON FILM"  8 COMPRESSE IN BLISTER PVC/PVDC-AL</t>
  </si>
  <si>
    <t>SILDENAFIL PFIZER</t>
  </si>
  <si>
    <t>"25 MG COMPRESSE RIVESTITE CON FILM" 4 COMPRESSE IN BLISTER PVC/AL</t>
  </si>
  <si>
    <t>"50 MG COMPRESSE RIVESTITE CON FILM" 12 COMPRESSE IN BLISTER PVC/AL</t>
  </si>
  <si>
    <t>"100 MG COMPRESSE RIVESTITE CON FILM" 12 COMPRESSE IN BLISTER PVC/AL</t>
  </si>
  <si>
    <t>SILDENAFIL SUN</t>
  </si>
  <si>
    <t>"50 MG COMPRESSE RIVESTITE CON FILM" 4 COMPRESSE IN BLISTER PVC/PE/PVDC</t>
  </si>
  <si>
    <t>SILDENAFIL TEVA ITALIA</t>
  </si>
  <si>
    <t>"20 MG COMPRESSE RIVESTITE CON FILM" 90 X 1 COMPRESSE IN BLISTER PVC/PVDC/AL</t>
  </si>
  <si>
    <t>SIMECRIN</t>
  </si>
  <si>
    <t>SIMETICONE</t>
  </si>
  <si>
    <t>" BAMBINI GOCCE ORALI, EMULSIONE " FLACONE DA 30 ML</t>
  </si>
  <si>
    <t>SIMPONI</t>
  </si>
  <si>
    <t>GOLIMUMAB</t>
  </si>
  <si>
    <t>100 MG SOLUZIONE PER INIEZIONE IN SIRINGA PRE-RIEMPITA (VETRO)  1 ML - USO SOTTOCUTANEO - 1 SIRINGA PRERIEMPITA</t>
  </si>
  <si>
    <t>SIMVASTATINA AUROBINDO</t>
  </si>
  <si>
    <t>SIMVASTATINA</t>
  </si>
  <si>
    <t>"20 MG COMPRESSE RIVESTITE CON FILM" 10 COMPRESSE IN BLISTER PVC/PE/PVDC/AL</t>
  </si>
  <si>
    <t>"40 MG COMPRESSE RIVESTITE CON FILM" 10 COMPRESSE IN BLISTER PVC/PE/PVDC/AL</t>
  </si>
  <si>
    <t>"10 MG COMPRESSE RIVESTITE CON FILM" 20 COMPRESSE IN BLISTER PVC/PE/PVDC/AL</t>
  </si>
  <si>
    <t>SIMVASTATINA AUROBINDO ITALIA</t>
  </si>
  <si>
    <t>SIMVASTATINA SUN</t>
  </si>
  <si>
    <t>"40 MG COMPRESSE RIVESTITE CON FILM" 10 COMPRESSE  IN BLISTER PVDC/PVC/AL</t>
  </si>
  <si>
    <t>SINARTROL</t>
  </si>
  <si>
    <t>CINNOXICAM</t>
  </si>
  <si>
    <t>SINARTROL INFIAMMAZIONE E DOLORE</t>
  </si>
  <si>
    <t>"1,5% CREMA" TUBO DA 50 G</t>
  </si>
  <si>
    <t>SINCRONIL</t>
  </si>
  <si>
    <t>TOPIRAMATO</t>
  </si>
  <si>
    <t>" 25 MG COMPRESSE RIVESTITE CON FILM " 60 COMPRESSE IN BLISTER PVC/PE/PVDC/AL</t>
  </si>
  <si>
    <t>" 50 MG COMPRESSE RIVESTITE CON FILM " 60 COMPRESSE IN BLISTER PVC/PE/PVDC/AL</t>
  </si>
  <si>
    <t>" 100 MG COMPRESSE RIVESTITE CON FILM " 60 COMPRESSE IN BLISTER PVC/PE/PVDC/AL</t>
  </si>
  <si>
    <t>" 200 MG COMPRESSE RIVESTITE CON FILM " 60 COMPRESSE IN BLISTER PVC/PE/PVDC/AL</t>
  </si>
  <si>
    <t>SINTAMIN</t>
  </si>
  <si>
    <t>" SOLUZIONE PER INFUSIONE " 20 FLACONI 500 ML</t>
  </si>
  <si>
    <t>SINTOPEN</t>
  </si>
  <si>
    <t>SINTOPRAM</t>
  </si>
  <si>
    <t>"40 MG/ML GOCCE ORALI, SOLUZIONE" FLACONE 15 ML</t>
  </si>
  <si>
    <t>SINTROM</t>
  </si>
  <si>
    <t>ACENOCUMAROLO</t>
  </si>
  <si>
    <t>"4 MG COMPRESSE" 20 COMPRESSE QUADRISECABILI</t>
  </si>
  <si>
    <t>Il titolare ha comunicato una possibile discontinuità di fornitura anche per il periodo 26/03/2020-10/04/2020</t>
  </si>
  <si>
    <t>SINVACOR</t>
  </si>
  <si>
    <t>"40 MG COMPRESSE RIVESTITE CON FILM" 10 COMPRESSE</t>
  </si>
  <si>
    <t>"20 MG COMPRESSE RIVESTITE CON FILM" 10 COMPRESSE</t>
  </si>
  <si>
    <t>SODIO CLORURO EUROSPITAL</t>
  </si>
  <si>
    <t>SODIO CLORURO</t>
  </si>
  <si>
    <t>"0,9% SOLUZIONE PER INFUSIONE" FLACONE 1000 ML</t>
  </si>
  <si>
    <t>SODIO INDIGOTINDISULFONATO MONICO</t>
  </si>
  <si>
    <t>SODIO INDIGOTINDISOLFONATO</t>
  </si>
  <si>
    <t>"40 MG/10 ML SOLUZIONE INIETTABILE" 10 FIALE 10 ML</t>
  </si>
  <si>
    <t>SODIO LEVOFOLINATO MEDAC</t>
  </si>
  <si>
    <t>ACIDO LEVO FOLINICO</t>
  </si>
  <si>
    <t>"50 MG/ML SOLUZIONE INIETTABILE O PER INFUSIONE" 1 FLACONCINO IN VETRO DA 1 ML</t>
  </si>
  <si>
    <t>SODIO NITROPRUSSIATO</t>
  </si>
  <si>
    <t>SODIO NITROPRUSSIATO ANIDRO</t>
  </si>
  <si>
    <t>"100 MG POLVERE E SOLVENTE PER SOLUZIONE PER INFUSIONE"3 FIALE POLVERE.+3 FIALE SOLVENTE 5 ML</t>
  </si>
  <si>
    <t>SODIO TIOSOLFATO S.A.L.F.</t>
  </si>
  <si>
    <t>SODIO TIOSOLFATO</t>
  </si>
  <si>
    <t>"1 G/10 ML CONCENTRATO PER SOLUZIONE PER INFUSIONE" 5 FIALE 10 ML</t>
  </si>
  <si>
    <t>SODIO VALPROATO SANOFI</t>
  </si>
  <si>
    <t>SODIO VALPROATO</t>
  </si>
  <si>
    <t>"300 MG COMPRESSE A RILASCIO PROLUNGATO" 30 COMPRESSE</t>
  </si>
  <si>
    <t>" 500 MG COMPRESSE A RILASCIO PROLUNGATO" 30 COMPRESSE</t>
  </si>
  <si>
    <t>SOFARGEN</t>
  </si>
  <si>
    <t>SULFADIAZINA ARGENTICA</t>
  </si>
  <si>
    <t>"1% CREMA" TUBO 180 G</t>
  </si>
  <si>
    <t>"1% CREMA" VASETTO 600 G</t>
  </si>
  <si>
    <t>SOLIAN</t>
  </si>
  <si>
    <t>"200 MG COMPRESSE" 30 COMPRESSE</t>
  </si>
  <si>
    <t>SOLIFENACINA TEVA</t>
  </si>
  <si>
    <t>SOLIFENACINA SUCCINATO</t>
  </si>
  <si>
    <t>"10 MG COMPRESSE RIVESTITE CON FILM" 20 COMPRESSE IN BLISTER PVC/ACLAR/PVDC/PVC/AL</t>
  </si>
  <si>
    <t>carenza relativa sia al canale retail che al canale ospedaliero:
- canale retail: inizio carenza 18/09/2020
- canale ospedaliero: inizio carenza 06/07/2020</t>
  </si>
  <si>
    <t>SOLMUCOL MUCOLITICO</t>
  </si>
  <si>
    <t>"200 MG GRANULATO PER SOLUZIONE ORALE" 30 BUSTINE</t>
  </si>
  <si>
    <t>SOLVETTA</t>
  </si>
  <si>
    <t>"0,12 MG/0,015 MG OGNI 24 ORE DISPOSITIVO VAGINALE" 1 DISPOSITIVO IN BUSTINA PET/AL/LDPE</t>
  </si>
  <si>
    <t>SOMAC CONTROL</t>
  </si>
  <si>
    <t>"20 MG-COMPRESSA GASTRORESISTENTE-USO ORALE-BLISTER (ALU/ALU) CON RINFORZO IN CARTONE"  7 COMPRESSE</t>
  </si>
  <si>
    <t>"20 MG-COMPRESSA GASTRORESISTENTE-USO ORALE-BLISTER (ALU/ALU) CON RINFORZO IN CARTONE"  14 COMPRESSE</t>
  </si>
  <si>
    <t>SORICLAR</t>
  </si>
  <si>
    <t>" 125 MG/ 5 ML GRANULATO PER SOSPENSIONE ORALE " FLACONE DA 100 ML CON DOSATORE</t>
  </si>
  <si>
    <t>" 250 MG COMPRESSE RIVESTITE " 12 COMPRESSE</t>
  </si>
  <si>
    <t>" 250 MG/ 5 ML GRANULATO PER SOSPENSIONE ORALE " FLACONE DA 100 ML CON DOSATORE</t>
  </si>
  <si>
    <t>SOSEFEN</t>
  </si>
  <si>
    <t>KETOTIFENE FUMARATO ACIDO</t>
  </si>
  <si>
    <t>"1 MG COMPRESSE SOLUBILI" 40 COMPRESSE</t>
  </si>
  <si>
    <t>SPASMODIL</t>
  </si>
  <si>
    <t>PIPETANATO ETOBROMURO</t>
  </si>
  <si>
    <t>"10 MG/ML SOLUZIONE INIETTABILE"  6 FIALE</t>
  </si>
  <si>
    <t>"60 MG SUPPOSTE" 6 SUPPOSTE</t>
  </si>
  <si>
    <t>SPASMOLYT</t>
  </si>
  <si>
    <t>ACIDO OLEICO                                                                                               + CELLULOSA                                                                                                  + MACROGOL 4000 + SACCAROSIO                                                                                                 + TALCO + TRIETILCITRATO                                                                                             + TRIGLICERIDI A CATENA MEDIA/OLIO DI SOIA + TROSPIUM CLORURO</t>
  </si>
  <si>
    <t>" 60 MG CAPSULE RIGIDE A RILASCIO PROLUNGATO" 28 CAPSULE IN BLISTER PVC/AL</t>
  </si>
  <si>
    <t>" 60 MG CAPSULE RIGIDE A RILASCIO PROLUNGATO" 28 CAPSULE IN BLISTER PVC/PVDC/AL</t>
  </si>
  <si>
    <t>SPASMOMEN SOMATICO</t>
  </si>
  <si>
    <t>OTILONIO BROMURO/DIAZEPAM</t>
  </si>
  <si>
    <t>"40" 30 COMPRESSE RIVESTITE</t>
  </si>
  <si>
    <t>SPENDOR</t>
  </si>
  <si>
    <t>" 2% SHAMPOO" FLACONE IN HDPE DA 80 ML</t>
  </si>
  <si>
    <t>LANOVA FARMACEUTICI S.R.L.</t>
  </si>
  <si>
    <t>SPIDIDOL ANALGESICO</t>
  </si>
  <si>
    <t>"200 MG GRANULATO PER SOLUZIONE ORALE" 12 BUSTINE</t>
  </si>
  <si>
    <t>"200 MG COMPRESSE" 12 COMPRESSE</t>
  </si>
  <si>
    <t>SPIDIFEN</t>
  </si>
  <si>
    <t>IBUPROFENE SALE DI ARGININA</t>
  </si>
  <si>
    <t>"400 MG COMPRESSE RIVESTITE CON FILM" 30 COMPRESSE</t>
  </si>
  <si>
    <t>SPIOLTO RESPIMAT</t>
  </si>
  <si>
    <t>OLODATEROLO + TIOTROPIO BROMURO MONOIDRATO</t>
  </si>
  <si>
    <t>" 2,5 MICROGRAMMI/2,5 MICROGRAMMI, SOLUZIONE PER INALAZIONE" 1 INALATORE RESPIMAT + 1 CARTUCCIA PE/PP DA 60 EROGAZIONI</t>
  </si>
  <si>
    <t>SPIRIVA RESPIMAT</t>
  </si>
  <si>
    <t>TIOTROPIO BROMURO</t>
  </si>
  <si>
    <t>"2,5 MICROGRAMMI SOLUZIONE PER INALAZIONE"  1 INALATORE  RESPIMAT + 1 CARTUCCIA PE/PP DA 60 EROGAZIONI</t>
  </si>
  <si>
    <t>SPORANOX</t>
  </si>
  <si>
    <t>ITRACONAZOLO</t>
  </si>
  <si>
    <t>1 FIALA DI CONCENTRATO PER SOLUZIONE PER INFUSIONE  DA 25 ML + SACCA CON 50 ML DI CLORURO DI SODIO 0,9%</t>
  </si>
  <si>
    <t>SPRYCEL</t>
  </si>
  <si>
    <t>DASATINIB</t>
  </si>
  <si>
    <t>"20 MG COMPRESSE RIVESTITE CON FILM" -USO ORALE- BLISTER (ALU/ALU) 60X1 COMPRESSE</t>
  </si>
  <si>
    <t>SRIVASSO</t>
  </si>
  <si>
    <t>"18 MICROGRAMMI POLVERE PER INALAZIONE, CAPSULA RIGIDA" 30 CAPSULE IN BLISTER AL/PVC/AL CON DISPOSITIVO PER INALAZIONE HANDIHALER</t>
  </si>
  <si>
    <t>STAMICIS</t>
  </si>
  <si>
    <t>TETRAKIS (2-METOSSI-ISOBUTIL-ISONITRILE) RAME TETRAFLUOROBORATO</t>
  </si>
  <si>
    <t>"1 MG KIT PER PREPARAZIONE RADIOFARMACEUTICA" 5 FLACONCINI DA 1 MG</t>
  </si>
  <si>
    <t>CURIUM ITALY S.R.L.</t>
  </si>
  <si>
    <t>STEMETIL</t>
  </si>
  <si>
    <t>PROCLORPERAZINA DIMALEATO</t>
  </si>
  <si>
    <t>"5 MG COMPRESSE RIVESTITE CON FILM" 20 COMPRESSE</t>
  </si>
  <si>
    <t>STERADES</t>
  </si>
  <si>
    <t>"0,05 G/100 G CREMA"  TUBO 30 G</t>
  </si>
  <si>
    <t>"0,05 G/100 G SOLUZIONE CUTANEA" FLACONE 60 ML</t>
  </si>
  <si>
    <t>STERIDROLO</t>
  </si>
  <si>
    <t>Cloramina T (TOSILCLORAMIDE SODICA)</t>
  </si>
  <si>
    <t>POLVERE 10 BUSTE 5 G</t>
  </si>
  <si>
    <t>POLVERE 12 BUSTE 2,5 G</t>
  </si>
  <si>
    <t>STILLA DECONGESTIONANTE</t>
  </si>
  <si>
    <t>TETRIZOLINA CLORIDRATO</t>
  </si>
  <si>
    <t>"0,05% COLLIRIO, SOLUZIONE" 20 CONTENITORI MONODOSE DA 0,3 ML</t>
  </si>
  <si>
    <t>STRATTERA</t>
  </si>
  <si>
    <t>ATOMOXETINA CLORIDRATO</t>
  </si>
  <si>
    <t>"25 MG CAPSULE RIGIDE" 7 CAPSULE IN BLISTER PVC/PE/PCTFE/AL</t>
  </si>
  <si>
    <t>"18 MG CAPSULE RIGIDE" 7 CAPSULE IN BLISTER PVC/PE/PCTFE/AL</t>
  </si>
  <si>
    <t>"100 MG CAPSULE RIGIDE" 14 CAPSULE IN BLISTER PVC/PE/PCTFE/AL</t>
  </si>
  <si>
    <t>STREPTOSIL CON NEOMICINA</t>
  </si>
  <si>
    <t>NEOMICINA SOLFATO + SULFATIAZOLO</t>
  </si>
  <si>
    <t>"99,5% + 0,5% POLVERE CUTANEA"  10 G IN FLACONE PE</t>
  </si>
  <si>
    <t>STRIVERDI RESPIMAT</t>
  </si>
  <si>
    <t>OLODATEROLO</t>
  </si>
  <si>
    <t>"2,5 MICROGRAMMI SOLUZIONE PER INALAZIONE" 1 INALATORE RESPIMAT CON CARTUCCIA IN PE/PP DA 30 DOSI</t>
  </si>
  <si>
    <t>STROMALIDAN</t>
  </si>
  <si>
    <t>SUADIAN</t>
  </si>
  <si>
    <t>NAFTIFINA CLORIDRATO</t>
  </si>
  <si>
    <t>"1% SOLUZIONE CUTANEA" FLACONE 30 ML CON CONTAGOCCE</t>
  </si>
  <si>
    <t>SUCRALFIN</t>
  </si>
  <si>
    <t>"1 G COMPRESSE" 40 COMPRESSE</t>
  </si>
  <si>
    <t>SUCRAMAL</t>
  </si>
  <si>
    <t>" 1 G COMPRESSE " 40 COMPRESSE</t>
  </si>
  <si>
    <t>SCHARPER S.P.A.</t>
  </si>
  <si>
    <t>SUMATRIPTAN AUROBINDO</t>
  </si>
  <si>
    <t>SUMATRIPTAN</t>
  </si>
  <si>
    <t>"50 MG COMPRESSE RIVESTITE" 4 COMPRESSE IN BLISTER PVC/AL</t>
  </si>
  <si>
    <t>Disponibile la confezione AIC 046202014</t>
  </si>
  <si>
    <t>"100 MG COMPRESSE RIVESTITE" 4 COMPRESSE IN BLISTER PVC/AL</t>
  </si>
  <si>
    <t>Disponibile la confezione AIC 046202038</t>
  </si>
  <si>
    <t>SUMATRIPTAN AUROBINDO ITALIA</t>
  </si>
  <si>
    <t>SUMATRIPTAN SUCCINATO</t>
  </si>
  <si>
    <t>"50 MG COMPRESSE" 4 COMPRESSE IN BLISTER PA/AL/PVC/AL</t>
  </si>
  <si>
    <t>SUPREFACT</t>
  </si>
  <si>
    <t>BUSERELIN ACETATO</t>
  </si>
  <si>
    <t>"1 MG/ML SOLUZIONE INIETTABILE" 1 FLACONE DA 5,5 ML</t>
  </si>
  <si>
    <t>"0,1 MG/EROGAZIONE SPRAY NASALE, SOLUZIONE" 1 FLACONE DA 10 G + EROGATORE</t>
  </si>
  <si>
    <t>SUSPIRIA</t>
  </si>
  <si>
    <t>" 10 MG COMPRESSE RIVESTITE CON FILM" 7 COMPRESSE DIVISIBILI</t>
  </si>
  <si>
    <t>SUSTIVA</t>
  </si>
  <si>
    <t>100 MG 30 CAPSULE RIGIDE IN FLACONE</t>
  </si>
  <si>
    <t>30 MG SOLUZIONE ORALE 1 FLACONE 180 ML</t>
  </si>
  <si>
    <t>600 MG COMPRESSE FILM RIVESTITE 30 COMPRESSE IN BLISTER USO ORALE</t>
  </si>
  <si>
    <t>TACHIPIRINA</t>
  </si>
  <si>
    <t>"125 MG GRANULATO EFFERVESCENTE"20 BUSTINE</t>
  </si>
  <si>
    <t>TACHIVERDE</t>
  </si>
  <si>
    <t>" 1000 MG COMPRESSE " 16 COMPRESSE DIVISIBILI</t>
  </si>
  <si>
    <t>TACIGEN</t>
  </si>
  <si>
    <t>" 0,1 % CREMA " TUBO 30 G</t>
  </si>
  <si>
    <t>TAD</t>
  </si>
  <si>
    <t>"600 MG/4 ML POLVERE E SOLVENTE PER SOLUZIONE INIETTABILE" 5 FLACONCINI POLVERE+ 5 FIALE SOLVENTE 4 ML</t>
  </si>
  <si>
    <t>"600 MG/4 ML POLVERE E SOLVENTE PER SOLUZIONE INIETTABILE"10 FLACONCINI POLVERE+ 10 FIALE SOLVENTE 4 ML</t>
  </si>
  <si>
    <t>"2500 MG/25 ML POLVERE E SOLVENTE PER SOLUZIONE PER INFUSIONE" 1 FLACONCINO POLVERE + 1 FLACONCINO SOLVENTE 25 ML</t>
  </si>
  <si>
    <t>TADALAFIL TEVA</t>
  </si>
  <si>
    <t>TADALAFIL</t>
  </si>
  <si>
    <t>"5MG COMPRESSE RIVESTITE CON FILM" 28 COMPRESSE IN BLISTER PVC/ACLAR/PVC/AL</t>
  </si>
  <si>
    <t>TADALAFIL ZENTIVA</t>
  </si>
  <si>
    <t>"5 MG COMPRESSE RIVESTITE CON FILM" 28 COMPRESSE IN BLISTER PVC/PCTFE/AL</t>
  </si>
  <si>
    <t>"10 MG COMPRESSE RIVESTITE CON FILM" 4 COMPRESSE IN BLISTER PVC/PCTFE/AL</t>
  </si>
  <si>
    <t>"20 MG COMPRESSE RIVESTITE CON FILM" 4 COMPRESSE IN BLISTER PVC/PCTFE/AL</t>
  </si>
  <si>
    <t>"20 MG COMPRESSE RIVESTITE CON FILM" 8 COMPRESSE IN BLISTER PVC/PCTFE/AL</t>
  </si>
  <si>
    <t>TAKROZEM</t>
  </si>
  <si>
    <t>TACROLIMUS</t>
  </si>
  <si>
    <t>"0,1%  UNGUENTO" 1 TUBO IN AL/LDPE DA 30 G</t>
  </si>
  <si>
    <t>TALOXA</t>
  </si>
  <si>
    <t>FELBAMATO</t>
  </si>
  <si>
    <t>40 COMPRESSE 400 MG</t>
  </si>
  <si>
    <t>TALTZ</t>
  </si>
  <si>
    <t>IXEKIZUMAB</t>
  </si>
  <si>
    <t>80 MG - SOLUZIONE INIETTABILE - USO SOTTOCUTANEO - SIRINGA (VETRO) - 1 ML - 3 PENNE PRERIEMPITE (MONODOSE)</t>
  </si>
  <si>
    <t>80 MG - SOLUZIONE INIETTABILE - USO SOTTOCUTANEO - SIRINGA (VETRO) - 1 ML - 3 SIRINGHE PRERIEMPITE (MONODOSE)</t>
  </si>
  <si>
    <t>TAMARINE</t>
  </si>
  <si>
    <t>CASSIA ANGUSTIFOLIA/CASSIA FISTULA</t>
  </si>
  <si>
    <t>"8% + 0,39% MARMELLATA" 1 VASETTO DA 260 G</t>
  </si>
  <si>
    <t>TAMIFLU</t>
  </si>
  <si>
    <t>OSELTAMIVIR FOSFATO</t>
  </si>
  <si>
    <t>12 MG/ML POLVERE PER SOSPENSIONE ORALE 1 FLACONE 30 G USO ORALE</t>
  </si>
  <si>
    <t>TAMOXENE</t>
  </si>
  <si>
    <t>"10 MG COMPRESSE RIVESTITE CON FILM" 30 COMPRESSE</t>
  </si>
  <si>
    <t>TANTUM VERDE DENTAL</t>
  </si>
  <si>
    <t>" 0.5% PASTA DENTIFRICIA " TUBO DA 75 ML</t>
  </si>
  <si>
    <t>TAU-TUX</t>
  </si>
  <si>
    <t>TAULIZ</t>
  </si>
  <si>
    <t>PIRETANIDE</t>
  </si>
  <si>
    <t>"6 MG COMPRESSE"20 COMPRESSE</t>
  </si>
  <si>
    <t>"3 MG COMPRESSE" 20 COMPRESSE</t>
  </si>
  <si>
    <t>TAXCEUS</t>
  </si>
  <si>
    <t>"20MG/ML CONCENTRATO PER SOLUZIONE PER INFUSIONE" 1 FLACONCINO IN VETRO DA 1 ML MONODOSE</t>
  </si>
  <si>
    <t>"20MG/ML CONCENTRATO PER SOLUZIONE PER INFUSIONE" 1 FLACONCINO IN VETRO DA 4 ML MONODOSE</t>
  </si>
  <si>
    <t>"20MG/ML CONCENTRATO PER SOLUZIONE PER INFUSIONE" 1 FLACONCINO IN VETRO DA 7 ML MONODOSE</t>
  </si>
  <si>
    <t>TAXOL</t>
  </si>
  <si>
    <t>1 FLACONE 300MG, 6MG/ML</t>
  </si>
  <si>
    <t>1 FLACONE 30 MG/5 ML</t>
  </si>
  <si>
    <t>FLACONE 100 MG/16,7 ML</t>
  </si>
  <si>
    <t>TAXOTERE</t>
  </si>
  <si>
    <t>"20 MG" CONCENTRATO PER INFUSIONI IV + SOLVENTE</t>
  </si>
  <si>
    <t>"80 MG" CONCENTRATO PER INFUSIONE IV + SOLVENTE</t>
  </si>
  <si>
    <t>TAZOCIN</t>
  </si>
  <si>
    <t>"2 G + 0,250 G/4 ML POLVERE E SOLVENTE PER SOLUZIONE INIETTABILE PER USO INTRAMUSCOLARE" 1 FLACONCINO POLVERE + 1 FIALA SOLVENTE 4 ML</t>
  </si>
  <si>
    <t>"2 G + 0,250 G POLVERE PER SOLUZIONE PER INFUSIONE" 12 FLACONCINI</t>
  </si>
  <si>
    <t>" 4 G + 0,500 G POLVERE PER SOLUZIONE PER INFUSIONE " 12 FLACONCINI DI POLVERE</t>
  </si>
  <si>
    <t>TELMISARTAN ACTAVIS</t>
  </si>
  <si>
    <t>4O MG - COMPRESSA - USO ORALE - BLISTER (ALU/ALU) 28 COMPRESSE</t>
  </si>
  <si>
    <t>80 MG - COMPRESSA - USO ORALE - BLISTER (ALU/ALU)" 28COMPRESSE</t>
  </si>
  <si>
    <t>TELMISARTAN E IDROCLOROTIAZIDE PENSA</t>
  </si>
  <si>
    <t>IDROCLOROTIAZIDE + TELMISARTAN</t>
  </si>
  <si>
    <t>"40 MG/12,5MG COMPRESSE RIVESTITE CON FILM" 28 COMPRESSE IN BLISTER PA/AL/PVC-AL</t>
  </si>
  <si>
    <t>"80 MG/12,5MG COMPRESSE RIVESTITE CON FILM" 28 COMPRESSE IN BLISTER PA/AL/PVC-AL</t>
  </si>
  <si>
    <t>TELMISARTAN EG</t>
  </si>
  <si>
    <t>TELMISARTAN MYLAN</t>
  </si>
  <si>
    <t>"40 MG COMPRESSE" 28 COMPRESSE IN BLISTER OPA/AL/PVC</t>
  </si>
  <si>
    <t>TELMISARTAN RANBAXY</t>
  </si>
  <si>
    <t>" 40 MG COMPRESSE " 28 COMPRESSE IN BLISTER PA/AL/PVC/AL</t>
  </si>
  <si>
    <t>" 80 MG COMPRESSE " 28 COMPRESSE IN BLISTER PA/AL/PVC/AL</t>
  </si>
  <si>
    <t>TELMISARTAN SANDOZ</t>
  </si>
  <si>
    <t>"40 MG COMPRESSE" 28 COMPRESSE IN BLISTER AL/AL</t>
  </si>
  <si>
    <t>TELMISARTAN TEVA ITALIA</t>
  </si>
  <si>
    <t>"20MG COMPRESSE" 28 COMPRESSE IN BLISTER AL/AL</t>
  </si>
  <si>
    <t>"40MG COMPRESSE" 28 COMPRESSE IN BLISTER AL/AL</t>
  </si>
  <si>
    <t>la carenza è relativa sia al canale retail che al canale ospedaliero:
- inizio carenza canale retail: 24/08/2020
- inizio carenza canale ospedaliero: 15/10/2020</t>
  </si>
  <si>
    <t>"80MG COMPRESSE" 28 COMPRESSE IN BLISTER AL/AL</t>
  </si>
  <si>
    <t>TEMODAL</t>
  </si>
  <si>
    <t>TEMOZOLOMIDE</t>
  </si>
  <si>
    <t>5 MG CAPSULA RIGIDA 1 FLACONE 5 CAPSULE USO ORALE</t>
  </si>
  <si>
    <t>250 MG CAPSULA RIGIDA 1 FLACONE 5 CAPSULE USO ORALE</t>
  </si>
  <si>
    <t>20 MG CAPSULA RIGIDA 1 FLACONE 5 CAPSULE USO ORALE</t>
  </si>
  <si>
    <t>100 MG CAPSULA RIGIDA 1 FLACONE 5 CAPSULE USO ORALE</t>
  </si>
  <si>
    <t>" 5 MG CAPSULA RIGIDA-USO ORALE- CAPSULA IN BUSTINA SIGILLATA INDIVIDUALMENTE " 5 CAPSULE</t>
  </si>
  <si>
    <t>TEMOMEDAC</t>
  </si>
  <si>
    <t>"5 MG - CAPSULA RIGIDA - USO ORALE - FLACONE (VETRO)" 5 CAPSULE</t>
  </si>
  <si>
    <t>"20 MG - CAPSULA RIGIDA - USO ORALE - FLACONE (VETRO)" 5 CAPSULE</t>
  </si>
  <si>
    <t>"100 MG - CAPSULA RIGIDA - USO ORALE - FLACONE (VETRO)" 5 CAPSULE</t>
  </si>
  <si>
    <t>"140 MG - CAPSULA RIGIDA - USO ORALE - FLACONE (VETRO)" 5 CAPSULE</t>
  </si>
  <si>
    <t>"180 MG - CAPSULA RIGIDA - USO ORALE - FLACONE (VETRO)" 5 CAPSULE</t>
  </si>
  <si>
    <t>"250 MG - CAPSULA RIGIDA - USO ORALE - FLACONE (VETRO)" 5 CAPSULE</t>
  </si>
  <si>
    <t>TEMOZOLOMIDE ACCORD</t>
  </si>
  <si>
    <t>" 5 MG -CAPSULA RIGIDA-ORALE-FLACONE (VETRO) " 5 CAPSULE</t>
  </si>
  <si>
    <t>" 20 MG -CAPSULA RIGIDA-ORALE-FLACONE (VETRO) " 5 CAPSULE</t>
  </si>
  <si>
    <t>" 100 MG -CAPSULA RIGIDA-ORALE-FLACONE (VETRO) " 5 CAPSULE</t>
  </si>
  <si>
    <t>" 140 MG -CAPSULA RIGIDA-ORALE-FLACONE (VETRO) " 5 CAPSULE</t>
  </si>
  <si>
    <t>" 180 MG -CAPSULA RIGIDA-ORALE-FLACONE (VETRO) " 5 CAPSULE</t>
  </si>
  <si>
    <t>" 250 MG-CAPSULA RIGIDA-ORALE-FLACONE (VETRO) " 5 CAPSULE</t>
  </si>
  <si>
    <t>20 MG - CAPSULA RIGIDA - USO ORALE - BUSTINA - 5 CAPSULE</t>
  </si>
  <si>
    <t>100 MG - CAPSULA RIGIDA - USO ORALE - BUSTINA - 5 CAPSULE</t>
  </si>
  <si>
    <t>140 MG - CAPSULA RIGIDA - USO ORALE - BUSTINA - 5 CAPSULE</t>
  </si>
  <si>
    <t>180 MG - CAPSULA RIGIDA - USO ORALE - BUSTINA - 5 CAPSULE</t>
  </si>
  <si>
    <t>250 MG - CAPSULA RIGIDA - USO ORALE - BUSTINA - 5 CAPSULE</t>
  </si>
  <si>
    <t>TEMOZOLOMIDE SANDOZ</t>
  </si>
  <si>
    <t>"5 MG CAPSULE RIGIDE-USO ORALE- FLACONE (VETRO) " 5 CAPSULE</t>
  </si>
  <si>
    <t>"250 MG CAPSULE RIGIDE-USO ORALE- FLACONE (VETRO ) " 5  CAPSULE</t>
  </si>
  <si>
    <t>"20 MG CAPSULE RIGIDE-USO ORALE- FLACONE (VETRO ) " 5  CAPSULE</t>
  </si>
  <si>
    <t>"180 MG CAPSULE RIGIDE-USO ORALE- FLACONE (VETRO ) " 5  CAPSULE</t>
  </si>
  <si>
    <t>"140 MG CAPSULE RIGIDE-USO ORALE- FLACONE (VETRO ) " 5  CAPSULE</t>
  </si>
  <si>
    <t>"100 MG CAPSULE RIGIDE-USO ORALE- FLACONE (VETRO ) " 5  CAPSULE</t>
  </si>
  <si>
    <t>TEMOZOLOMIDE SUN</t>
  </si>
  <si>
    <t>"250 MG - CAPSULE RIGIDE - USO ORALE - FLACONI(VETRO)" 5 CAPSULE</t>
  </si>
  <si>
    <t>TENKUOREN</t>
  </si>
  <si>
    <t>" 10 MG COMPRESSE RIVESTITE CON FILM"14 COMPRESSE</t>
  </si>
  <si>
    <t>TENOFOVIR DISOPROXIL ACCORD</t>
  </si>
  <si>
    <t>TENOFOVIR DISOPROXIL</t>
  </si>
  <si>
    <t>" 245 MG COMPRESSE RIVESTITE CON FILM " 30 COMPRESSE IN BLISTER AL/AL</t>
  </si>
  <si>
    <t>TENOFOVIR DISOPROXIL AUROBINDO</t>
  </si>
  <si>
    <t>" 245 MG COMPRESSE RIVESTITE CON FILM " 30 COMPRESSE IN FLACONE HDPE</t>
  </si>
  <si>
    <t>TENOFOVIR DISOPROXIL TEVA</t>
  </si>
  <si>
    <t>TENOFOVIR DISOPROXIL FUMARATO</t>
  </si>
  <si>
    <t>"245 MG COMPRESSE RIVESTITE CON FILM" 30 COMPRESSE IN FLACONE HDPE</t>
  </si>
  <si>
    <t>TENOFOVIR DISOPROXIL ZENTIVA</t>
  </si>
  <si>
    <t>245 MG - COMPRESSA RIVESTITA CON FILM - USO ORALE - FLACONE (HDPE) - 30 COMPRESSE</t>
  </si>
  <si>
    <t>TENSILENE</t>
  </si>
  <si>
    <t>" 5 MG COMPRESSE " 28 COMPRESSE DIVISIBILI</t>
  </si>
  <si>
    <t>" 10 MG COMPRESSE " 14 COMPRESSE DIVISIBILI</t>
  </si>
  <si>
    <t>TERAZOSINA TEVA</t>
  </si>
  <si>
    <t>TERAZOSINA CLORIDRATO</t>
  </si>
  <si>
    <t>14 COMPRESSE 5 MG BLISTER PVC/PVDC</t>
  </si>
  <si>
    <t>30 COMPRESSE 2 MG BLISTER PVC/PVDC</t>
  </si>
  <si>
    <t>TERLIPRESSINA SUN</t>
  </si>
  <si>
    <t>TERLIPRESSINA</t>
  </si>
  <si>
    <t>" 0,1MG/ML SOLUZIONE INIETTABILE " 5 FIALE IN VETRO DA 8.5ML</t>
  </si>
  <si>
    <t>TERMADEC FEBBRE E DOLORE</t>
  </si>
  <si>
    <t>"500 MG COMPRESSE RIVESTITE CON FILM" 10 COMPRESSE</t>
  </si>
  <si>
    <t>"500 MG COMPRESSE RIVESTITE CON FILM" 30 COMPRESSE</t>
  </si>
  <si>
    <t>TESTIM</t>
  </si>
  <si>
    <t>TESTOSTERONE</t>
  </si>
  <si>
    <t>" 50 MG  GEL " 30 TUBI MONODOSE  DA 5 G</t>
  </si>
  <si>
    <t>ENDO VENTURES LIMITED</t>
  </si>
  <si>
    <t>TESTOGEL</t>
  </si>
  <si>
    <t>30 BUSTINE DI GEL DA 50 MG</t>
  </si>
  <si>
    <t>LABORATOIRES BESINS INTERNATIONAL</t>
  </si>
  <si>
    <t>TESTOVIRON</t>
  </si>
  <si>
    <t>TESTOSTERONE ENANTATO</t>
  </si>
  <si>
    <t>TETANUS GAMMA</t>
  </si>
  <si>
    <t>IMMUNOGLOBULINA UMANA ANTITETANICA</t>
  </si>
  <si>
    <t>"250 U.I./1 ML SOLUZIONE INIETTABILE PER USO INTRAMUSCOLARE" 1 SIRINGA PRERIEMPITA DA 1 ML</t>
  </si>
  <si>
    <t>TEVAGRASTIM</t>
  </si>
  <si>
    <t>"48 MUI(480MCG/0,8ML)-SOLUZ INIETT O PER INFUSIONE-USO SOTTOCUTANEO O ENDOVENOSO- 0,8 ML" 1 SIRINGA PRERIEMPITA INVETRO CON DISP DI SICUREZZA PER L'AGO</t>
  </si>
  <si>
    <t>TEVA GMBH</t>
  </si>
  <si>
    <t>TEXPAMI</t>
  </si>
  <si>
    <t>" 15 MG/ 5 ML SOLUZIONE PER INFUSIONE " 4 FLACONI</t>
  </si>
  <si>
    <t>"30 MG/ 10 ML SOLUZIONE PER INFUSIONE" 2 FLACONCINI</t>
  </si>
  <si>
    <t>"60 MG/ 10 ML SOLUZIONE PER INFUSIONE" 1 FLACONCINO</t>
  </si>
  <si>
    <t>"90 MG/ 10 ML SOLUZIONE PER INFUSIONE" 1 FLACONCINO</t>
  </si>
  <si>
    <t>TEXTAZO</t>
  </si>
  <si>
    <t>PIPERACILLINA SODICA + TAZOBACTAM</t>
  </si>
  <si>
    <t>" 2 G + 250MG/4 ML POLVERE E SOLVENTE PER SOLUZIONE INIETTABILEPER USO INTRAMUSCOLARE" 1 FLACONCINO POLVERE + 1 FIALA SOLVENTE</t>
  </si>
  <si>
    <t>" 4 G + 500 MG POLVERE PER SOLUZIONE PER INFUSIONE " 1 FLACONCINO POLVERE</t>
  </si>
  <si>
    <t>TEYSUNO</t>
  </si>
  <si>
    <t>OTERACIL + TEGAFUR + TEGAFUR, COMBINATIONS</t>
  </si>
  <si>
    <t>20 MG/5,8 MG/15,8 MG - CAPSULA RIGIDA - USO ORALE - BLISTER (PCTFE/PVC/ALU) 84 CAPSULE</t>
  </si>
  <si>
    <t>15 MG/4,35MG/11,8MG - CAPSULA RIGIDA - USO ORALE - BLISTER (PCTFE/PVC/ALU) 126 CAPSULE</t>
  </si>
  <si>
    <t>THIOMED</t>
  </si>
  <si>
    <t>"600 MG/4 ML POLVERE E SOLVENTE PER SOLUZIONE INIETTABILE" 5 FLACONCINI POLVERE + 5 FIALE SOLVENTE</t>
  </si>
  <si>
    <t>"600 MG/4 ML POLVERE E SOLVENTE PER SOLUZIONE INIETTABILE" 10 FLACONCINI POLVERE + 10 FIALE SOLVENTE</t>
  </si>
  <si>
    <t>TICLOPIDINA HEXAL</t>
  </si>
  <si>
    <t>"250 MG COMPRESSE RIVESTITE CON FILM" 30 COMPRESSE RIVESTITE</t>
  </si>
  <si>
    <t>TIENOR</t>
  </si>
  <si>
    <t>FARMAKA S.R.L.</t>
  </si>
  <si>
    <t>TILADE</t>
  </si>
  <si>
    <t>"10 MG/2 ML SOLUZIONE DA NEBULIZZARE" 36 FIALE</t>
  </si>
  <si>
    <t>TILAVIST</t>
  </si>
  <si>
    <t>"2% COLLIRIO, SOLUZIONE" 1 FLACONE 5 ML</t>
  </si>
  <si>
    <t>TIMECEF</t>
  </si>
  <si>
    <t>TINSET</t>
  </si>
  <si>
    <t>OXATOMIDE</t>
  </si>
  <si>
    <t>"5% GEL" TUBO 30 G</t>
  </si>
  <si>
    <t>TIOCOLCHICOSIDE UNION HEALTH</t>
  </si>
  <si>
    <t>"4 MG/2 ML SOLUZIONE INIETTABILE PER USO INTRAMUSCOLARE" 6 FIALE 2 ML</t>
  </si>
  <si>
    <t>UNION HEALTH S.R.L.</t>
  </si>
  <si>
    <t>TIOREDOX</t>
  </si>
  <si>
    <t>FLAC 4,8 G POLV LIOF + FLAC 50 ML SOLV X SOL. INF.</t>
  </si>
  <si>
    <t>FLAC 2,4 G POLV LIOF+FLAC 25 ML SOLV X SOL. INFUS.</t>
  </si>
  <si>
    <t>TIROSINT</t>
  </si>
  <si>
    <t>"100 MICROGRAMMI COMPRESSE " 50 COMPRESSE</t>
  </si>
  <si>
    <t>"50 MICROGRAMMI COMPRESSE " 50 COMPRESSE</t>
  </si>
  <si>
    <t>TOBI</t>
  </si>
  <si>
    <t>TOBRAMICINA</t>
  </si>
  <si>
    <t>"300 MG/5 ML SOLUZIONE PER NEBULIZZATORE" 56 FIALE MONODOSE DA 5 ML</t>
  </si>
  <si>
    <t>TOBRABACT</t>
  </si>
  <si>
    <t>1 FLACONE LDPE DI COLLIRIO DA 5 ML</t>
  </si>
  <si>
    <t>NTC S.R.L.</t>
  </si>
  <si>
    <t>TOBRAMICINA IBI</t>
  </si>
  <si>
    <t>" 100 MG/2 ML SOLUZIONE INIETTABILE" 1 FIALA</t>
  </si>
  <si>
    <t>" 150 MG/ 2 ML SOLUZIONE INIETTABILE  " 1 FIALA</t>
  </si>
  <si>
    <t>TOCALFA</t>
  </si>
  <si>
    <t>RETINOLO/TOCOFEROLO ACETATO ALFA</t>
  </si>
  <si>
    <t>"50.000 UI + 50 MG CAPSULE MOLLI" 20 CAPSULE MOLLI</t>
  </si>
  <si>
    <t>TOKEN</t>
  </si>
  <si>
    <t>TOOKAD</t>
  </si>
  <si>
    <t>366 MG - POLVERE PER SOLUZIONE INIETTABILE - USO ENDOVENOSO - FLACONCINO (VETRO) - 1 FLACONCINO</t>
  </si>
  <si>
    <t>STEBA BIOTECH S.A.</t>
  </si>
  <si>
    <t>TOPIRAMATO MYLAN GENERICS</t>
  </si>
  <si>
    <t>"25 MG COMPRESSE RIVESTITE CON FILM" 60 COMPRESSE IN BLISTER AL/AL</t>
  </si>
  <si>
    <t>"50 MG COMPRESSE RIVESTITE CON FILM" 60 COMPRESSE IN BLISTER AL/AL</t>
  </si>
  <si>
    <t>"100 MG COMPRESSE RIVESTITE CON FILM" 60 COMPRESSE IN BLISTER AL/AL</t>
  </si>
  <si>
    <t>"200 MG COMPRESSE RIVESTITE CON FILM" 60 COMPRESSE IN BLISTER AL/AL</t>
  </si>
  <si>
    <t>TOPOTECAN TEVA</t>
  </si>
  <si>
    <t>"4 MG/4 ML - CONCENTRATO PER SOLUZIONE PER INFUSIONE - USO ENDOVENOSO - FLACONCINO(VETRO)" 5 FLACONCINI DA 4 ML</t>
  </si>
  <si>
    <t>TOPSYN</t>
  </si>
  <si>
    <t>FLUOCINONIDE</t>
  </si>
  <si>
    <t>"15 MG/30 G LIQUIDO SOLUZIONE CUTANEA" FLACONE 30 ML</t>
  </si>
  <si>
    <t>TORASEMIDE MYLAN GENERICS</t>
  </si>
  <si>
    <t>14 COMPRESSE IN BLISTER PVC/PVDC/AL DA 10 MG</t>
  </si>
  <si>
    <t>TORECAN</t>
  </si>
  <si>
    <t>TIETILPERAZINA DIMALEATO</t>
  </si>
  <si>
    <t>"6,5 MG COMPRESSE RIVESTITE" 15 COMPRESSE</t>
  </si>
  <si>
    <t>TORVAST</t>
  </si>
  <si>
    <t>ATORVASTATINA CALCIO TRIIDRATO</t>
  </si>
  <si>
    <t>"40" 10 COMPRESSE 40 MG</t>
  </si>
  <si>
    <t>TRACRIUM</t>
  </si>
  <si>
    <t>"25 MG/2,5 ML SOLUZIONE INIETTABILE PER USO ENDOVENOSO" 5 FIALE  DA 2,5 ML</t>
  </si>
  <si>
    <t>"50 MG/5 ML SOLUZIONE INIETTABILE PER USO ENDOVENOSO" 5 FIALE DA 5 ML</t>
  </si>
  <si>
    <t>TRAKOR</t>
  </si>
  <si>
    <t>"6,25 MG COMPRESSE" 28 COMPRESSE</t>
  </si>
  <si>
    <t>"25 MG COMPRESSE" 30 COMPRESSE</t>
  </si>
  <si>
    <t>TRAMADOLO ARISTO</t>
  </si>
  <si>
    <t>" 100 MG/2 ML SOLUZIONE INIETTABILE " 5 FIALE 2 ML</t>
  </si>
  <si>
    <t>TRAMADOLO HEXAL AG</t>
  </si>
  <si>
    <t>"100 MG/ML GOCCE ORALI, SOLUZIONE" FLACONE  10 ML</t>
  </si>
  <si>
    <t>" 100 MG/2 ML SOLUZIONE INIETTABILE " 5 FIALE DA 2 ML</t>
  </si>
  <si>
    <t>TRANDATE</t>
  </si>
  <si>
    <t>LABETALOLO CLORIDRATO</t>
  </si>
  <si>
    <t>"5 MG/ML SOLUZIONE INIETTABILE PER USO ENDOVENOSO" 1 FIALA DA 20 ML</t>
  </si>
  <si>
    <t>TRANEX</t>
  </si>
  <si>
    <t>ACIDO TRANEXAMICO</t>
  </si>
  <si>
    <t>"500 MG CAPSULE " 30 CAPSULE</t>
  </si>
  <si>
    <t>TRANSACT LAT</t>
  </si>
  <si>
    <t>"40 MG CEROTTI MEDICATI" 5 CEROTTI</t>
  </si>
  <si>
    <t>TRANSMETIL</t>
  </si>
  <si>
    <t>ADEMETIONINA</t>
  </si>
  <si>
    <t>" 500 MG COMPRESSE GASTRORESISTENTI " 10 COMPRESSE</t>
  </si>
  <si>
    <t>500 MG/ 5 ML POLVERE E SOLVENTE PER SOLUZIONE INIETTABILE " 5 FLACONCINI POLVERE + 5 FIALE SOLVENTE DA 5 ML</t>
  </si>
  <si>
    <t>TRAVOGEN</t>
  </si>
  <si>
    <t>"1% CREMA VAGINALE" TUBO G 30 + 6 APPLICATORI  MONOUSO</t>
  </si>
  <si>
    <t>"1 % CREMA" TUBO 20 G</t>
  </si>
  <si>
    <t>TRIACORT</t>
  </si>
  <si>
    <t>" 40 MG /1 ML SOSPENSIONE INIETTABILE " 3 FLACONCINI DA 1 ML</t>
  </si>
  <si>
    <t>TRIAMINIC</t>
  </si>
  <si>
    <t>PARACETAMOLO/PSEUDOEFEDRINA CLORIDRATO</t>
  </si>
  <si>
    <t>"500 MG + 60 MG POLVERE PER SOLUZIONE ORALE" 10 BUSTINE 6 G</t>
  </si>
  <si>
    <t>TRIAMLO</t>
  </si>
  <si>
    <t>AMLODIPINA BESILATO + RAMIPRIL</t>
  </si>
  <si>
    <t>" 10MG + 5MG CAPSULE RIGIDE " 28 CAPSULE IN BLISTER PA/AL/PVC/AL</t>
  </si>
  <si>
    <t>TRIAMVIRGI</t>
  </si>
  <si>
    <t>"40 MG/ML  SOSPENSIONE INIETTABILE" 3 FLACONCINI DA 1 ML</t>
  </si>
  <si>
    <t>TRIAZOLAM ALMUS</t>
  </si>
  <si>
    <t>TRIAZOLAM</t>
  </si>
  <si>
    <t>" 0,125 MG COMPRESSE " 20 COMPRESSE</t>
  </si>
  <si>
    <t>TRIAZOLAM SANDOZ</t>
  </si>
  <si>
    <t>" 0,125 MG COMPRESSE" 20 COMPRESSE</t>
  </si>
  <si>
    <t>TRICANDIL</t>
  </si>
  <si>
    <t>"25.000 U. OVULI" 15 OVULI</t>
  </si>
  <si>
    <t>TRIESENCE</t>
  </si>
  <si>
    <t>40MG/ML SOSPENSIONE INIETTABILE   1 FLACONCINO IN VETRO MONODOSE DA 1 ML</t>
  </si>
  <si>
    <t>TRIFLUX</t>
  </si>
  <si>
    <t>TRIFLUSAL</t>
  </si>
  <si>
    <t>30 CAPSULE 300 MG</t>
  </si>
  <si>
    <t>TRIMINULET</t>
  </si>
  <si>
    <t>" COMPRESSE RIVESTITE" 21 COMPRESSE</t>
  </si>
  <si>
    <t>TRINEVRINA B6</t>
  </si>
  <si>
    <t>"POLVERE E SOLVENTE PER SOLUZIONE INIETTABILE PER USO INTRAMUSCOLARE" 5 FIALE POLVERE + 5 FIALE SOLVENTE 3 ML</t>
  </si>
  <si>
    <t>LABORATORI GUIDOTTI S.P.A.</t>
  </si>
  <si>
    <t>TRISENOX</t>
  </si>
  <si>
    <t>ACIDO ARSENIOSO</t>
  </si>
  <si>
    <t>1 MG/ML CONCENTRATO PER INFUSIONE ENDOVENOSA 10 FIALE 10 ML USO ENDOVENOSO</t>
  </si>
  <si>
    <t>disponibile la confezione AIC 035712025 (2MG/ML CONCENTRATO PER SOLUZIONE PER INFUSIONE, 10 FLACONCINI DA 6ML)</t>
  </si>
  <si>
    <t>TRITTICO</t>
  </si>
  <si>
    <t>TRAZODONE CLORIDRATO</t>
  </si>
  <si>
    <t>"25 MG/ML GOCCE ORALI, SOLUZIONE" FLACONE 30 ML</t>
  </si>
  <si>
    <t>TRONOTENE</t>
  </si>
  <si>
    <t>PRAMOCAINA</t>
  </si>
  <si>
    <t>TRUSOPT</t>
  </si>
  <si>
    <t>DORZOLAMIDE CLORIDRATO</t>
  </si>
  <si>
    <t>"20 MG/ML COLLIRIO, SOLUZIONE IN CONTENITORE OCUMETER PLUS" 1 FLACONE DA 5 ML</t>
  </si>
  <si>
    <t>TUSSOLVINA</t>
  </si>
  <si>
    <t>MORGANCEUTICAL S.R.L.</t>
  </si>
  <si>
    <t>TWICE</t>
  </si>
  <si>
    <t>MORFINA SOLFATO</t>
  </si>
  <si>
    <t>"10 MG CAPSULE RIGIDE A RILASCIO PROLUNGATO" 16 CAPSULE</t>
  </si>
  <si>
    <t>ETHYPHARM</t>
  </si>
  <si>
    <t>"30 MG CAPSULE RIGIDE A RILASCIO PROLUNGATO" 16 CAPSULE</t>
  </si>
  <si>
    <t>"60 MG CAPSULE RIGIDE A RILASCIO PROLUNGATO" 16 CAPSULE</t>
  </si>
  <si>
    <t>TWINRIX</t>
  </si>
  <si>
    <t>VACCINO EPATITE A INATTIVATO/EPATITE B DA DNA RICOMBINANTE</t>
  </si>
  <si>
    <t>"ADULTI 20 MCG/ML - SOSPENSIONE INIETTABILE - USO INTRAMUSCOLARE" 1 SIRINGA PRERIEMPITA CON AGO SEPARATO</t>
  </si>
  <si>
    <t>UGUROL</t>
  </si>
  <si>
    <t>"500 MG/5 ML SOLUZIONE INIETTABILE PER USO ENDOVENOSO, PER USO ORALE E LOCALE" 5 FIALE</t>
  </si>
  <si>
    <t>" 500 MG/ 5 ML SOLUZIONE INIETTABILE, PER USO ORALE E LOCALE " 6 FIALE</t>
  </si>
  <si>
    <t>ULIS</t>
  </si>
  <si>
    <t>30 COMPRESSE 800 MG</t>
  </si>
  <si>
    <t>30 BUSTINE 800 MG</t>
  </si>
  <si>
    <t>ULTIVA</t>
  </si>
  <si>
    <t>REMIFENTANIL CLORIDRATO</t>
  </si>
  <si>
    <t>5 FLACONI 1 MG</t>
  </si>
  <si>
    <t>5 FLACONI 2 MG</t>
  </si>
  <si>
    <t>5 FLACONI 5 MG</t>
  </si>
  <si>
    <t>ULTRALAN DERMATOLOGICO</t>
  </si>
  <si>
    <t>FLUOCORTOLONE + FLUOCORTOLONE CAPROATO</t>
  </si>
  <si>
    <t>"0,25%+ 0,25% CREMA IDROFOBA"TUBO 30 G</t>
  </si>
  <si>
    <t>UNASYN</t>
  </si>
  <si>
    <t>SULTAMICILLINA TOSILATO</t>
  </si>
  <si>
    <t>"750 MG COMPRESSE RIVESTITE" 8 COMPRESSE</t>
  </si>
  <si>
    <t>AMPICILLINA/SULBACTAM</t>
  </si>
  <si>
    <t>"500 MG+ 1 G/3,2 ML POLVERE E SOLVENTE PER SOLUZIONE INIETTABILE PER USO INTRAMUSCOLARE" 1 FLACONCINO POLVERE + 1 FIALA SOLVENTE 3,2 ML</t>
  </si>
  <si>
    <t>" 500 MG + 1 G/3,2 ML POLVERE E SOLVENTE PER SOLUZIONE INIETTABILE PER USO ENDOVENOSO" 1 FLACONCINO POLVERE + 1 FIALA SOLVENTE 3,2 ML</t>
  </si>
  <si>
    <t>"250 MG+500 MG/1,6 ML POLVERE E SOLVENTE PER SOLUZIONE INIETTABILE " 1 FLACONCINO POLVERE+ 1 FIALA SOLVENTE 1,6</t>
  </si>
  <si>
    <t>SULTAMICILLINA</t>
  </si>
  <si>
    <t>"BAMBINI 250 MG POLVERE PER SOSPENSIONE ORALE" 1 FLACONE 100 ML</t>
  </si>
  <si>
    <t>" 1  G+2  G  POLVERE   PER   SOLUZIONE INIETTABILE PER USO ENDOVENOSO» 1 FLACONE POLVERE DA 3 G</t>
  </si>
  <si>
    <t>UROCHINASI EG</t>
  </si>
  <si>
    <t>"25.000 U.I./2 ML POLVERE E SOLVENTE PER SOLUZIONE INIETTABILE" 1 FLACONE POLVERE + 1 FIALA SOLVENTE 2 ML</t>
  </si>
  <si>
    <t>Fino al 28/02/2021 il medicinale è disponbile ma in distribuzione contingenta; dal 01/03/2021 il medicinale sarà totalmente carente</t>
  </si>
  <si>
    <t>"100.000 U.I./2 ML POLVERE E SOLVENTE PER SOLUZIONE INIETTABILE" 1 FLACONE POLVERE + 1 FIALA SOLVENTE 2 ML</t>
  </si>
  <si>
    <t>"500.000 U.I./5 ML POLVERE E SOLVENTE PER SOLUZIONE INIETTABILE" 1 FLACONE POLVERE + 1 FIALA SOLVENTE 5 ML</t>
  </si>
  <si>
    <t>Fino al 30/04/2021 il medicinale è disponbile ma in distribuzione contingenta; dal 01/05/2021 il medicinale sarà totalmente carente</t>
  </si>
  <si>
    <t>"1.000.000 U.I./5 ML POLVERE E SOLVENTE PER SOLUZIONE INIETTABILE" 1 FLACONE POLVERE + 1 FIALA SOLVENTE 5 ML</t>
  </si>
  <si>
    <t>Fino al 31/07/2021 il medicinale è disponbile ma in distribuzione contingenta; dal 01/08/2021 il medicinale sarà totalmente carente</t>
  </si>
  <si>
    <t>UROKINASI PFIZER</t>
  </si>
  <si>
    <t>"100.000 UI/2 ML POLVERE E SOLVENTE PER SOLUZIONE INIETTABILE" 1 FLACONE DI POLVERE + 1 FIALA SOLVENTE DA 2 ML</t>
  </si>
  <si>
    <t>UROTRACTIN</t>
  </si>
  <si>
    <t>ACIDO PIPEMIDICO</t>
  </si>
  <si>
    <t>"200  MG CAPSULE RIGIDE" 20 CAPSULE RIGIDE</t>
  </si>
  <si>
    <t>URSACOL</t>
  </si>
  <si>
    <t>URSILON</t>
  </si>
  <si>
    <t>"225 MG CAPSULE RIGIDE A RILASCIO PROLUNGATO" 20 CAPSULE</t>
  </si>
  <si>
    <t>" 150 MG GRANULATO PER SOSPENSIONE ORALE " 20 BUSTINE</t>
  </si>
  <si>
    <t>URSOBIL</t>
  </si>
  <si>
    <t>ACIDO URSODESOSSICOLICO ESTERE SOLFORICO SALE SODICO</t>
  </si>
  <si>
    <t>"31,7 MG/ML SCIROPPO" FLACONE 200 ML</t>
  </si>
  <si>
    <t>URSOFLOR</t>
  </si>
  <si>
    <t>URSULTEC</t>
  </si>
  <si>
    <t>"3 G/100 ML SCIROPPO" FLACONE 200 ML</t>
  </si>
  <si>
    <t>VALIUM</t>
  </si>
  <si>
    <t>"5MG CAPSULE RIGIDE" 20 CAPSULE</t>
  </si>
  <si>
    <t>"2MG CAPSULE RIGIDE" 30 CAPSULE</t>
  </si>
  <si>
    <t>VALONTAN</t>
  </si>
  <si>
    <t>DIMENIDRINATO</t>
  </si>
  <si>
    <t>"BAMBINI 25 MG COMPRESSE RIVESTITE" 4 COMPRESSE</t>
  </si>
  <si>
    <t>VALPRESSION</t>
  </si>
  <si>
    <t>"80 MG CAPSULE" 28 CAPSULE IN BLISTER CALENDARIO  PVC/PE/PVDC/AL</t>
  </si>
  <si>
    <t>"320 MG COMPRESSE RIVESTITE CON FILM" 28 COMPRESSE IN BLISTER CALENDARIO PVC/PVDC/AL</t>
  </si>
  <si>
    <t>"160 MG CAPSULE" 28 CAPSULE IN BLISTER CALENDARIO  PVC/PE/PVDC/AL</t>
  </si>
  <si>
    <t>VALSARTAN E  IDROCLOROTIAZIDE TEVA ITALIA</t>
  </si>
  <si>
    <t>"160MG/25MG COMPRESSE RIVESTITE CON FILM" 28 COMPRESSE IN BLISTER PVC/PE/PVDC-AL</t>
  </si>
  <si>
    <t>VALSARTAN E IDROCLOROTIAZIDE ALMUS</t>
  </si>
  <si>
    <t>"80 MG/12,5 MG COMPRESSE RIVESTITE CON FILM" 28 COMPRESSE IN BLISTER PVC/PE/PVDC-AL</t>
  </si>
  <si>
    <t>"160 MG/12,5 MG COMPRESSE RIVESTITE CON FILM" 28 COMPRESSE IN BLISTER PVC/PE/PVDC-AL</t>
  </si>
  <si>
    <t>"160 MG/25 MG COMPRESSE RIVESTITE CON FILM" 28 COMPRESSE IN BLISTER PVC/PE/PVDC-AL</t>
  </si>
  <si>
    <t>VALSARTAN E IDROCLOROTIAZIDE AUROBINDO</t>
  </si>
  <si>
    <t>" 80MG/12,5 MG COMPRESSE RIVESTITE CON FILM " 28 COMPRESSE IN BLISTER PVC/ACLAR/AL</t>
  </si>
  <si>
    <t>" 160MG/12,5 MG COMPRESSE RIVESTITE CON FILM " 28 COMPRESSE IN BLISTER PVC/ACLAR/AL</t>
  </si>
  <si>
    <t>" 160MG/25 MG COMPRESSE RIVESTITE CON FILM " 28 COMPRESSE IN BLISTER PVC/ACLAR/AL</t>
  </si>
  <si>
    <t>" 320MG/12,5 MG COMPRESSE RIVESTITE CON FILM " 28 COMPRESSE IN BLISTER PVC/ACLAR/AL</t>
  </si>
  <si>
    <t>" 320MG/25 MG COMPRESSE RIVESTITE CON FILM " 28 COMPRESSE IN BLISTER PVC/ACLAR/AL</t>
  </si>
  <si>
    <t>VALSARTAN E IDROCLOROTIAZIDE PENSA</t>
  </si>
  <si>
    <t>"80 MG + 12,5 MG COMPRESSE RIVESTITE CON FILM" 28 COMPRESSE IN BLISTER PVC/PE/PVDC-AL</t>
  </si>
  <si>
    <t>"160 MG + 12,5 MG COMPRESSE RIVESTITE CON FILM" 28 COMPRESSE IN BLISTER PVC/PE/PVDC-AL</t>
  </si>
  <si>
    <t>"160 MG + 25 MG COMPRESSE RIVESTITE CON FILM" 28 COMPRESSE IN BLISTER PVC/PE/PVDC-AL</t>
  </si>
  <si>
    <t>"320 MG + 12,5 MG COMPRESSE RIVESTITE CON FILM" 28 COMPRESSE IN BLISTER PVC/PE/PVDC-AL</t>
  </si>
  <si>
    <t>"320 MG + 25 MG COMPRESSE RIVESTITE CON FILM" 28 COMPRESSE IN BLISTER PVC/PE/PVDC-AL</t>
  </si>
  <si>
    <t>VALSARTAN E IDROCLOROTIAZIDE SUN</t>
  </si>
  <si>
    <t>"80 MG/12.5 MG COMPRESSE RIVESTITE CON FILM" 28 COMPRESSE IN BLISTER AL/AL</t>
  </si>
  <si>
    <t>"160 MG/12.5 MG COMPRESSE RIVESTITE CON FILM" 28 COMPRESSE IN BLISTER AL/AL</t>
  </si>
  <si>
    <t>"160 MG/25 MG COMPRESSE RIVESTITE CON FILM" 28 COMPRESSE IN BLISTER AL/AL</t>
  </si>
  <si>
    <t>VALSARTAN E IDROCLOROTIAZIDE TEVA PHARMA</t>
  </si>
  <si>
    <t>" 320MG/12,5 MG COMPRESSE RIVESTITE CON FILM " 28 COMPRESSE IN BLISTER PVC/PE/PVDC/AL</t>
  </si>
  <si>
    <t>la carenza è relativa sia al canale retail che al canale ospedaliero:                                                    - inizio carenza canale retail: 11/12/2018              - inizio carenza canale ospedaliero:   01/11/2019</t>
  </si>
  <si>
    <t>" 320MG/25MG COMPRESSE RIVESTITE CON FILM " 28 COMPRESSE IN BLISTER PVC/PE/PVDC/AL</t>
  </si>
  <si>
    <t>VALSARTAN E IDROCLOROTIAZIDE ZENTIVA ITALIA</t>
  </si>
  <si>
    <t>"160MG/12,5MG COMPRESSE RIVESTITE CON FILM" 28 COMPRESSE IN BLISTER PVC/PE/PVDC/AL</t>
  </si>
  <si>
    <t>VALSARTAN GERMED</t>
  </si>
  <si>
    <t>" 40 MG COMPRESSE RIVESTITE CON FILM " 14 COMPRESSE IN BLISTER PVC/PE/PVDC/AL</t>
  </si>
  <si>
    <t>" 80 MG COMPRESSE RIVESTITE CON FILM "  28 COMPRESSE IN BLISTER PVC/PE/PVDC/AL</t>
  </si>
  <si>
    <t>" 160 MG COMPRESSE RIVESTITE CON FILM "  28 COMPRESSE IN BLISTER PVC/PE/PVDC/AL</t>
  </si>
  <si>
    <t>VALSARTAN MYLAN GENERICS ITALIA</t>
  </si>
  <si>
    <t>"40 MG CAPSULE" 14 CAPSULE IN BLISTER PVC/PE/PVDC/AL</t>
  </si>
  <si>
    <t>VALSARTAN PENSA</t>
  </si>
  <si>
    <t>"160 MG COMPRESSE RIVESTITE CON FILM" 28 COMPRESSE IN BLISTER PVC/PE/PVDC/AL</t>
  </si>
  <si>
    <t>"40 MG COMPRESSE RIVESTITE CON FILM" 14 COMPRESSE IN BLISTER PVC/PE/PVDC/AL</t>
  </si>
  <si>
    <t>"80 MG COMPRESSE RIVESTITE CON FILM" 28 COMPRESSE IN BLISTER PVC/PE/PVDC/AL</t>
  </si>
  <si>
    <t>VALSARTAN TECNIGEN</t>
  </si>
  <si>
    <t>"80 MG COMPRESSE RIVESTITE CON FILM" 28 COMPRESSE IN BLISTER PVC/PE/PVDC/AL/PVDC</t>
  </si>
  <si>
    <t>VALSARTAN TEVA</t>
  </si>
  <si>
    <t>"40MG COMPRESSE RIVESTITE CON FILM " 14 COMPRESSE IN BLISTER PVC/PE/PVDC-AL</t>
  </si>
  <si>
    <t>"320 MG COMPRESSE RIVESTITE CON FILM " 28 COMPRESSE IN BLISTER PVC/PE/PVDC-AL</t>
  </si>
  <si>
    <t>VALSARTAN ZENTIVA</t>
  </si>
  <si>
    <t>"40 MG COMPRESSE RIVESTITE CON FILM " 14 COMPRESSE IN BLISTER PVC/PE/PVDC/AL</t>
  </si>
  <si>
    <t>"80 MG COMPRESSE RIVESTITE CON FILM " 28 COMPRESSE IN BLISTER PVC/PE/PVDC/AL</t>
  </si>
  <si>
    <t>"160 MG COMPRESSE RIVESTITE CON FILM " 28 COMPRESSE IN BLISTER PVC/PE/PVDC/AL</t>
  </si>
  <si>
    <t>"320 MG COMPRESSE RIVESTITE CON FILM " 28 COMPRESSE IN BLISTER PVC/PE/PVDC/AL</t>
  </si>
  <si>
    <t>VALSODIUR</t>
  </si>
  <si>
    <t>"80 MG/12.5 MG COMPRESSE RIVESTITE CON FILM" 28 COMPRESSE IN BLISTER PVC/PVDC/AL</t>
  </si>
  <si>
    <t>"160 MG/12.5 MG COMPRESSE RIVESTITE CON FILM" 28 COMPRESSE IN BLISTER PVC/PVDC/AL</t>
  </si>
  <si>
    <t>"160 MG/25 MG COMPRESSE RIVESTITE CON FILM" 28 COMPRESSE IN BLISTER PVC/PVDC/AL</t>
  </si>
  <si>
    <t>VANCOCINA A.P.</t>
  </si>
  <si>
    <t>VANCOMICINA CLORIDRATO</t>
  </si>
  <si>
    <t>"500 MG POLVERE PER CONCENTRATO PER SOLUZIONE PER INFUSIONE E PER SOLUZIONE ORALE" 1 FLACONE</t>
  </si>
  <si>
    <t>VANCOCIN ITALIA SRL</t>
  </si>
  <si>
    <t>VASORINIL</t>
  </si>
  <si>
    <t>"0,1% SPRAY NASALE, SOLUZIONE" FLACONE 20 ML</t>
  </si>
  <si>
    <t>D.M.G. ITALIA S.R.L.</t>
  </si>
  <si>
    <t>VAXIGRIP TETRA</t>
  </si>
  <si>
    <t>VACCINO INFLUENZALE INATTIVATO</t>
  </si>
  <si>
    <t>"0,5 ML SOSPENSIONE INIETTABILE IN SIRINGA PRERIEMPITA" 1 SIRINGA IN VETRO CON AGO</t>
  </si>
  <si>
    <t>Elevata richiesta (carenza relativa solo al canale ospedaliero)</t>
  </si>
  <si>
    <t>"0,5 ML SOSPENSIONE INIETTABILE IN SIRINGA PRERIEMPITA" 10 SIRINGHE IN VETRO CON AGO</t>
  </si>
  <si>
    <t>VELBE</t>
  </si>
  <si>
    <t>VINBLASTINA SOLFATO</t>
  </si>
  <si>
    <t>"10  MG  POLVERE  PER  SOLUZIONE  PER INFUSIONE" 1 FLACONCINO 10 MG</t>
  </si>
  <si>
    <t>VELLOFENT</t>
  </si>
  <si>
    <t>"400 MICROGRAMMI COMPRESSE SUBLINGUALI" 4 COMPRESSE IN BLISTER PA/AL/PVC/AL-PET</t>
  </si>
  <si>
    <t>"533 MICROGRAMMI COMPRESSE SUBLINGUALI" 4 COMPRESSE IN BLISTER PA/AL/PVC/AL-PET</t>
  </si>
  <si>
    <t>"800 MICROGRAMMI COMPRESSE SUBLINGUALI" 4 COMPRESSE IN BLISTER PA/AL/PVC/AL-PET</t>
  </si>
  <si>
    <t>VENLAFAXINA AUROBINDO</t>
  </si>
  <si>
    <t>VENLAFAXINA</t>
  </si>
  <si>
    <t>"37,5 MG CAPSULE RIGIDE A RILASCIO PROLUNGATO" 28 CAPSULE IN BLISTER PVC/PE/PVDC/AL</t>
  </si>
  <si>
    <t>"75 MG CAPSULE RIGIDE A RILASCIO PROLUNGATO" 14 CAPSULE IN BLISTER PVC/PE/PVDC/AL</t>
  </si>
  <si>
    <t>VENLAFAXINA PFIZER</t>
  </si>
  <si>
    <t>VENLAFAXINA CLORIDRATO</t>
  </si>
  <si>
    <t>" 37,5 MG CAPSULE RIGIDE A RILASCIO PROLUNGATO " 28 CAPSULE</t>
  </si>
  <si>
    <t>VENLAFAXINA SUN</t>
  </si>
  <si>
    <t>"75 MG CAPSULE A RILASCIO PROLUNGATO" 14 CAPSULE IN BLISTER PVC/PVDC/AL</t>
  </si>
  <si>
    <t>"150 MG CAPSULE A RILASCIO PROLUNGATO" 10 CAPSULE IN BLISTER PVC/PVDC/AL</t>
  </si>
  <si>
    <t>VENORUTON</t>
  </si>
  <si>
    <t>OXERUTINA</t>
  </si>
  <si>
    <t>" 2 % GEL " TUBO DA  100 G</t>
  </si>
  <si>
    <t>VENOSMINE</t>
  </si>
  <si>
    <t>"4% CREMA" TUBO DA 40 G</t>
  </si>
  <si>
    <t>VENTAVIS</t>
  </si>
  <si>
    <t>"10 MCG/ML-SOLUZIONE PER NEBULIZZATORE"-USO INALATORIO-FIALA(VETRO) 2ML-3X30FIALE</t>
  </si>
  <si>
    <t>VENTOFLU</t>
  </si>
  <si>
    <t>"2  MG/2  ML  ADULTI  SOLUZIONE DA NEBULIZZARE" 15 FIALE 2 ML.</t>
  </si>
  <si>
    <t>"1 MG/2 ML  BAMBINI  SOLUZIONE  DA NEBULIZZARE" 15 FIALE 2 ML</t>
  </si>
  <si>
    <t>VERACER</t>
  </si>
  <si>
    <t>"25000 U.I./5ML SOLUZIONE INIETTABILE" 10 FIALE</t>
  </si>
  <si>
    <t>MEDIC ITALIA S.R.L.</t>
  </si>
  <si>
    <t>VFEND</t>
  </si>
  <si>
    <t>VORICONAZOLO</t>
  </si>
  <si>
    <t>200 MG - POLVERE E SOLVENTE PER SOLUZIONE PER INFUSIONE - USO ENDOVENOSO - FLACONCINO (VETRO) + SACCA PER INFUSIONE - 10 MG/ML - 1 FLACONCINO + SACCA</t>
  </si>
  <si>
    <t>VIEKIRAX</t>
  </si>
  <si>
    <t>OMBITASVIR + PARITAPREVIR + RITONAVIR</t>
  </si>
  <si>
    <t>12,5MG/75MG/50MG COMPRESSA RIVESTITA CON FILM - USO ORALE - BLISTER (PVC/PE/PCTFE/ALU) - 56 COMPRESSE (CONFEZIONE MULTIPLA)</t>
  </si>
  <si>
    <t>VIMPAT</t>
  </si>
  <si>
    <t>LACOSAMIDE</t>
  </si>
  <si>
    <t>"150 MG - COMPRESSE RIVESTITE CON FILM - USO ORALE - BLISTER (PVC/PVDC/ALU)" 14 COMPRESSE</t>
  </si>
  <si>
    <t>VINBLASTINA TEVA</t>
  </si>
  <si>
    <t>"1 MG/ML SOLUZIONE INIETTABILE" 1 FLACONCINO  DA 10 ML</t>
  </si>
  <si>
    <t>VINCRISTINA EG</t>
  </si>
  <si>
    <t>VINCRISTINA SOLFATO</t>
  </si>
  <si>
    <t>"1 MG/ML SOLUZIONE  INIETTABILE  PER  USO ENDOVENOSO" 1 FLACONCINO DA 1 ML</t>
  </si>
  <si>
    <t>VINORELBINA AUROBINDO</t>
  </si>
  <si>
    <t>VINORELBINA TARTRATO</t>
  </si>
  <si>
    <t>"10 MG/ML CONCENTRATO PER SOLUZIONE PER INFUSIONE" 1 FLACONCINO DI VETRO DA 1 ML</t>
  </si>
  <si>
    <t>"10 MG/ML CONCENTRATO PER SOLUZIONE PER INFUSIONE" 1 FLACONCINO DI VETRO DA 5 ML</t>
  </si>
  <si>
    <t>VIRAMUNE</t>
  </si>
  <si>
    <t>NEVIRAPINA</t>
  </si>
  <si>
    <t>BLISTER 60 COMPRESSE 200 MG</t>
  </si>
  <si>
    <t>"200 MG - COMPRESSA - USO ORALE - BLISTER (PVC/AL)" 14 COMPRESSE</t>
  </si>
  <si>
    <t>"100 MG - COMPRESSA A RILASCIO PROLUNGATO - USO ORALE - FLACONE (HDPE)" 90 COMPRESSE</t>
  </si>
  <si>
    <t>VIRUXAN</t>
  </si>
  <si>
    <t>METISOPRINOLO</t>
  </si>
  <si>
    <t>"500 MG COMPRESSE" 40 COMPRESSE IN BLISTER</t>
  </si>
  <si>
    <t>"5% SCIROPPO" FLACONE 120 ML</t>
  </si>
  <si>
    <t>"1 G GRANULATO PER SOLUZIONE ORALE" 20 BUSTINE</t>
  </si>
  <si>
    <t>VISTAGAN</t>
  </si>
  <si>
    <t>LEVOBUNOLOLO CLORIDRATO</t>
  </si>
  <si>
    <t>"5 MG/ML COLLIRIO, SOLUZIONE" FLACONE 5 ML</t>
  </si>
  <si>
    <t>VISUDYNE</t>
  </si>
  <si>
    <t>VERTEPORFINA</t>
  </si>
  <si>
    <t>15 MG POLVERE PER SOLUZIONE PER INFUSIONE ENDOVENOSA 1 FLACONCINO 10 ML USO EV</t>
  </si>
  <si>
    <t>VIT A N</t>
  </si>
  <si>
    <t>RETINOLO ACETATO</t>
  </si>
  <si>
    <t>"25.000UI/100 G UNGUENTO OFTALMICO" TUBO DA 5 G</t>
  </si>
  <si>
    <t>FARMIGEA S.R.L.</t>
  </si>
  <si>
    <t>VIT.K SALF</t>
  </si>
  <si>
    <t>MENADIOLO SODIO BISOLFITO</t>
  </si>
  <si>
    <t>IM 5 FIALE 2 ML 50 MG</t>
  </si>
  <si>
    <t>IM 5 FIALE 2 ML 10 MG</t>
  </si>
  <si>
    <t>VITAMINA C BAYER</t>
  </si>
  <si>
    <t>"500 MG/5 ML SOLUZIONE INIETTABILE" 3 FIALE</t>
  </si>
  <si>
    <t>VITAMINA C VITA</t>
  </si>
  <si>
    <t>"1 G SOLUZIONE ORALE" 10 FLACONCINI MONODOSE 10 ML</t>
  </si>
  <si>
    <t>VIVIN C</t>
  </si>
  <si>
    <t>VIZARSIN</t>
  </si>
  <si>
    <t>"50 MG - COMPRESSA OROSOLUBILE - USO ORALE - BLISTER (OPA/ALU/PVC//PET/ALU)" 2X1 COMPRESSA</t>
  </si>
  <si>
    <t>"50 MG - COMPRESSA OROSOLUBILE - USO ORALE - BLISTER (OPA/AL/PVC//PET/AL)" 12X1 COMPRESSA</t>
  </si>
  <si>
    <t>"25 MG - COMPRESSA OROSOLUBILE - USO ORALE - BLISTER (OPA/AL/PVC//PET/AL)" 8X1 COMPRESSA</t>
  </si>
  <si>
    <t>"25 MG - COMPRESSA OROSOLUBILE - USO ORALE - BLISTER (OPA/AL/PVC//PET/AL)" 4X1 COMPRESSA</t>
  </si>
  <si>
    <t>"25 MG - COMPRESSA OROSOLUBILE - USO ORALE - BLISTER (OPA/AL/PVC//PET/AL)" 2X1 COMPRESSA</t>
  </si>
  <si>
    <t>"25 MG - COMPRESSA OROSOLUBILE - USO ORALE - BLISTER (OPA/AL/PVC//PET/AL)" 12X1 COMPRESSA</t>
  </si>
  <si>
    <t>"25 MG - COMPRESSA OROSOLUBILE - USO ORALE - BLISTER (OPA/AL/PVC//PET/AL)" 1 COMPRESSA</t>
  </si>
  <si>
    <t>"100 MG - COMPRESSA OROSOLUBILE - USO ORALE - BLISTER (OPA/AL/PVC//PET/AL)" 2X1 COMPRESSA</t>
  </si>
  <si>
    <t>"100 MG - COMPRESSA OROSOLUBILE - USO ORALE - BLISTER (OPA/AL/PVC//PET/AL)" 12X1 COMPRESSA</t>
  </si>
  <si>
    <t>VOLTALGAN</t>
  </si>
  <si>
    <t>" 3 % SCHIUMA CUTANEA " CONTENITORE SOTTO PRESSIONE DA 50 G</t>
  </si>
  <si>
    <t>VOLTAREN</t>
  </si>
  <si>
    <t>"50MG COMPRESSE SOLUBILI" 10 COMPRESSE</t>
  </si>
  <si>
    <t>VOLTAREN EMULGEL</t>
  </si>
  <si>
    <t>"1% GEL" TUBO DA 100 G</t>
  </si>
  <si>
    <t>"1% GEL" TUBO DA 150 G</t>
  </si>
  <si>
    <t>VOLTAREN OFTA</t>
  </si>
  <si>
    <t>"0,1% COLLIRIO, SOLUZIONE" FLACONE 5 ML</t>
  </si>
  <si>
    <t>VONTEN</t>
  </si>
  <si>
    <t>IDROSSIETILAMIDO + SODIO CLORURO</t>
  </si>
  <si>
    <t>"10 % SOLUZIONE PER INFUSIONE" 20 SACCHE  DA 500 ML</t>
  </si>
  <si>
    <t>VORICONAZOLO ACCORD</t>
  </si>
  <si>
    <t>50 MG - COMPRESSA IVESTITA CON FILM - USO ORALE - BLISTER (PVC/ALLUMINIO) 50 MG - 28 COMPRESSE</t>
  </si>
  <si>
    <t>200 MG - COMPRESSA IVESTITA CON FILM - USO ORALE - BLISTER (PVC/ALLUMINIO) 200 MG - 28 COMPRESSE</t>
  </si>
  <si>
    <t>50 MG - COMPRESSA RIVESTITA CON FILM - USO ORALE - BLISTER (PVC/ALLUMINIO) - 28X1 COMPRESSE (DOSE UNITARIA)</t>
  </si>
  <si>
    <t>200 MG - COMPRESSA RIVESTITA CON FILM - USO ORALE - BLISTER (PVC/ALLUMINIO) - 28X1 COMPRESSE (DOSE UNITARIA)</t>
  </si>
  <si>
    <t>VORICONAZOLO AUROBINDO</t>
  </si>
  <si>
    <t>"50 MG COMPRESSE RIVESTITE CON FILM" 28 COMPRESSE IN BLISTER PVC-AL</t>
  </si>
  <si>
    <t>"200 MG COMPRESSE RIVESTITE CON FILM" 28 COMPRESSE IN BLISTER PVC-AL</t>
  </si>
  <si>
    <t>VORICONAZOLO EG</t>
  </si>
  <si>
    <t>"200 MG COMPRESSE RIVESTITE CON FILM" 28 COMPRESSE IN BLISTER PVC/AL</t>
  </si>
  <si>
    <t>VORICONAZOLO EUROGENERICI</t>
  </si>
  <si>
    <t>"200 MG POLVERE PER SOLUZIONE PER INFUSIONE" 1 FLACONCINO IN VETRO DA 200 MG</t>
  </si>
  <si>
    <t>VORICONAZOLO FRESENIUS KABI</t>
  </si>
  <si>
    <t>"200 MG POLVERE PER SOLUZIONE PER INFUSIONE" 1 FLACONCINO IN VETRO</t>
  </si>
  <si>
    <t>VORICONAZOLO PHARMATHEN</t>
  </si>
  <si>
    <t>VORICONAZOLO SANDOZ</t>
  </si>
  <si>
    <t>" 50 MG COMPRESSE RIVESTITE CON FILM " 28 COMPRESSE IN BLISTER PVC/PVDC/AL</t>
  </si>
  <si>
    <t>VORICONAZOLO TEVA ITALIA</t>
  </si>
  <si>
    <t>WILFACTIN</t>
  </si>
  <si>
    <t>FATTORE DI VON WILLEBRAND</t>
  </si>
  <si>
    <t>?100 UI/ML POLVERE E SOLVENTE PER SOLUZIONE INIETTABILE? 1 FLACONCINO IN VETRO DA 1000 UI POLVERE + 1 FIALA IN VETRO DA 10 ML SOLVENTE + SISTEMA DI TRASFERIMENTO</t>
  </si>
  <si>
    <t>LABORATOIRE FRANCAIS DU FRACTIONNEMENT ET DES BIOTECHNOLOGIES</t>
  </si>
  <si>
    <t>X PREP</t>
  </si>
  <si>
    <t>SENNA FOGLIA</t>
  </si>
  <si>
    <t>"2 MG/ML POLVERE E SOLVENTE PER SOLUZIONE ORALE" FLACONE 75 ML CON TAPPO SERBATOIO</t>
  </si>
  <si>
    <t>XALIBUR</t>
  </si>
  <si>
    <t>"50 MICROGRAMMI/ML COLLIRIO, SOLUZIONE IN CONTENITORE MONODOSE" 30 CONTENITORI MONODOSE DA 0,2 ML</t>
  </si>
  <si>
    <t>XAMAMINA</t>
  </si>
  <si>
    <t>"25 MG GOMME DA MASTICARE MEDICATE" 6 GOMME</t>
  </si>
  <si>
    <t>XANAX</t>
  </si>
  <si>
    <t>" 0,5 MG COMPRESSE A RILASCIO PROLUNGATO " 30 COMPRESSE</t>
  </si>
  <si>
    <t>" 1 MG COMPRESSE A RILASCIO PROLUNGATO " 30 COMPRESSE</t>
  </si>
  <si>
    <t>" 3 MG COMPRESSE A RILASCIO PROLUNGATO " 30 COMPRESSE</t>
  </si>
  <si>
    <t>" 2 MG COMPRESSE A RILASCIO PROLUNGATO " 30 COMPRESSE</t>
  </si>
  <si>
    <t>"0,75  MG/ML GOCCE ORALI, SOLUZIONE"FLACONE 20 ML</t>
  </si>
  <si>
    <t>"1 MG COMPRESSE"20 COMPRESSE</t>
  </si>
  <si>
    <t>"0,50 MG COMPRESSE"20 COMPRESSE</t>
  </si>
  <si>
    <t>"0,25 MG COMPRESSE"20 COMPRESSE</t>
  </si>
  <si>
    <t>XARELTO</t>
  </si>
  <si>
    <t>RIVAROXABAN</t>
  </si>
  <si>
    <t>"10 MG  COMPRESSE RIVESTITE CON FILM - USO ORALE - BLISTER (PP/ALU) 100 COMPRESSE</t>
  </si>
  <si>
    <t>"10 MG  COMPRESSE RIVESTITE CON FILM - USO ORALE - BLISTER (PP/ALU) 5  COMPRESSE</t>
  </si>
  <si>
    <t>XIPOCOL</t>
  </si>
  <si>
    <t>XITOP</t>
  </si>
  <si>
    <t>"200 MG COMPRESSE RIVESTITE CON FILM" 60 COMPRESSE IN BLISTER PVC/PCTFE/PVC/AL</t>
  </si>
  <si>
    <t>XOLAIR</t>
  </si>
  <si>
    <t>OMALIZUMAB</t>
  </si>
  <si>
    <t>"150 MG POLVERE E SOLVENTE PER SOLUZIONE INIETTABILE-USO SOTTOCUTANEO"- 1 FLACONCINO CON POLVERE: 150 MG + 1 FIALA CON SOLVENTE: 2 ML</t>
  </si>
  <si>
    <t>XTANDI</t>
  </si>
  <si>
    <t>ENZALUTAMIDE</t>
  </si>
  <si>
    <t>"40 MG - CAPSULA MOLLE - USO ORALE - BLISTER (PVC/PCTFE/ALU)" 112 CAPSULE</t>
  </si>
  <si>
    <t>ASTELLAS PHARMA EUROPE B.V.</t>
  </si>
  <si>
    <t>YANIMO RESPIMAT</t>
  </si>
  <si>
    <t>OLODATEROLO + TIOTROPIO BROMURO</t>
  </si>
  <si>
    <t>YASMIN</t>
  </si>
  <si>
    <t>ETINILESTRADIOLO/DROSPIRENONE</t>
  </si>
  <si>
    <t>21 COMPRESSE RIVESTITE CON FILM IN BLISTER POLIVINILECLORURO/AL</t>
  </si>
  <si>
    <t>3X21 COMPRESSE RIVESTITE CON FILM IN BLISTER POLIVINILECLORURO/AL</t>
  </si>
  <si>
    <t>YASMINELLE</t>
  </si>
  <si>
    <t>"3 MG + 0,02 MG COMPRESSE RIVESTITE CON FILM" 21X3 COMPRESSE IN BLISTER PVC/AL</t>
  </si>
  <si>
    <t>YAZ</t>
  </si>
  <si>
    <t>"0.02 MG/3 MG COMPRESSE RIVESTITE CON FILM" 3X28 COMPRESSE IN BLISTER PVC/AL</t>
  </si>
  <si>
    <t>"0.02 MG/3 MG COMPRESSE RIVESTITE CON FILM" 28 COMPRESSE IN BLISTER PVC/AL</t>
  </si>
  <si>
    <t>YOVIS</t>
  </si>
  <si>
    <t>FERMENTI LATTICI</t>
  </si>
  <si>
    <t>"250 MG GRANULATO PER SOSPENSIONE ORALE" 10 BUSTINE</t>
  </si>
  <si>
    <t>ZALVISO</t>
  </si>
  <si>
    <t>SUFENTANIL</t>
  </si>
  <si>
    <t>15 MCG - COMPRESSA SUBLINGUALE - USO SUBLINGUALE - CARTUCCIA (CP) - 800 (20 CARTUCCE X 40) COMPRESSE</t>
  </si>
  <si>
    <t>GRUNENTHAL GMBH</t>
  </si>
  <si>
    <t>ZANTAC</t>
  </si>
  <si>
    <t>"150 MG COMPRESSE RIVESTITE CON FILM" 20 COMPRESSE</t>
  </si>
  <si>
    <t>"50 MG/5 ML SOLUZIONE INIETTABILE PER USO ENDOVENOSO" 10 FIALE</t>
  </si>
  <si>
    <t>"300 MG COMPRESSE RIVESTITE CON FILM" 20 COMPRESSE</t>
  </si>
  <si>
    <t>"150 MG/10 ML SCIROPPO" FLACONE 200 ML</t>
  </si>
  <si>
    <t>ZARONTIN</t>
  </si>
  <si>
    <t>ETOSUCCIMIDE</t>
  </si>
  <si>
    <t>"250 MG CAPSULE MOLLI"50 CAPSULE</t>
  </si>
  <si>
    <t>ESSENTIAL PHARMA (M) LTD</t>
  </si>
  <si>
    <t>Disponibile la confezione AIC 018930040 (250 mg capsule molli, 56 capsule) in classe C. Alle strutture sanitarie che volessero garantire la rimborsabilità si rilascia autorizzazione all’importazione  per analogo autorizzato all'estero</t>
  </si>
  <si>
    <t>ZAURIS</t>
  </si>
  <si>
    <t>"10 MG COMPRESSE" 14 COMPRESSE</t>
  </si>
  <si>
    <t>ZAVEDOS</t>
  </si>
  <si>
    <t>"5 MG CAPSULE RIGIDE" FLACONE DA 1 CAPSULA</t>
  </si>
  <si>
    <t>"10 MG CAPSULE RIGIDE" FLACONE DA 1 CAPSULA</t>
  </si>
  <si>
    <t>"25 MG CAPSULE RIGIDE" FLACONE DA 1 CAPSULA</t>
  </si>
  <si>
    <t>ZEFLUGYN</t>
  </si>
  <si>
    <t>" 100 MG CAPSULE RIGIDE " 10 CAPSULE</t>
  </si>
  <si>
    <t>" 150 MG CAPSULE RIGIDE " 2 CAPSULE</t>
  </si>
  <si>
    <t>" 200 MG CAPSULE RIGIDE " 7 CAPSULE</t>
  </si>
  <si>
    <t>ZELDOX</t>
  </si>
  <si>
    <t>ZIPRASIDONE CLORIDRATO</t>
  </si>
  <si>
    <t>" 80 MG CAPSULE RIGIDE " 56 CAPSULE IN BLISTER AL/PVC/PA/AL</t>
  </si>
  <si>
    <t>" 60 MG CAPSULE RIGIDE " 56 CAPSULE IN BLISTER AL/PVC/PA/AL</t>
  </si>
  <si>
    <t>" 40 MG CAPSULE RIGIDE " 56 CAPSULE IN BLISTER AL/PVC/PA/AL</t>
  </si>
  <si>
    <t>" 20 MG CAPSULE RIGIDE " 56 CAPSULE IN BLISTER AL/PVC/PA/AL</t>
  </si>
  <si>
    <t>ZEMPLAR</t>
  </si>
  <si>
    <t>"5 MCG/ML SOLUZIONE INIETTABILE" 5 FLACONCINI IN VETRO DA 1 ML</t>
  </si>
  <si>
    <t>ZENTEL</t>
  </si>
  <si>
    <t>ALBENDAZOLO</t>
  </si>
  <si>
    <t>" 400 MG COMPRESSE " 3 COMPRESSE</t>
  </si>
  <si>
    <t>LABORATOIRE GLAXOSMITHKLINE</t>
  </si>
  <si>
    <t>ZERIT</t>
  </si>
  <si>
    <t>STAVUDINA</t>
  </si>
  <si>
    <t>20 MG 56 CAPSULE RIGIDE IN BLISTER USO ORALE</t>
  </si>
  <si>
    <t>30 MG 56 CAPSULE RIGIDE IN BLISTER USO ORALE</t>
  </si>
  <si>
    <t>40 MG 56 CAPSULE RIGIDE IN BLISTER USO ORALE</t>
  </si>
  <si>
    <t>200 MG (1 MG/ML) POLVERE PER SOLUZIONE ORALE 1 FLACONE 200 ML USO ORALE</t>
  </si>
  <si>
    <t>ZEROFLOG</t>
  </si>
  <si>
    <t>" 0,3 MG/SPRUZZO, SPRAY PER MUCOSA ORALE " 1 CONTENITORE MULTIDOSE DA 15 ML</t>
  </si>
  <si>
    <t>ZIBREN</t>
  </si>
  <si>
    <t>"500 MG POLVERE PER SOLUZIONE ORALE" 20 BUSTINE</t>
  </si>
  <si>
    <t>LEVOACETILCARNITINA</t>
  </si>
  <si>
    <t>"500 MG/4 ML POLVERE E SOLVENTE PER SOLUZIONE INIETTABILE"5 FLACONCINI + 5 FIALE SOLVENTE 4 ML</t>
  </si>
  <si>
    <t>"500 MG COMPRESSE GASTRORESISTENTI" 30 COMPRESSE</t>
  </si>
  <si>
    <t>ZIMOX</t>
  </si>
  <si>
    <t>" 100 MG/ ML GOCCE ORALI, SOSPENSIONE " 1 FLACONE POLVERE + BICCHIERINO DOSATORE E PIPETTA</t>
  </si>
  <si>
    <t>ZINERYT</t>
  </si>
  <si>
    <t>ERITROMICINA/ZINCO ACETATO DIIDRATO</t>
  </si>
  <si>
    <t>"4% + 1,2 % POLVERE E SOLVENTE PER SOLUZIONE CUTANEA" 1 FLACONE POLVERE + 1 FLACONE SOLVENTE 30 ML</t>
  </si>
  <si>
    <t>ZINNAT</t>
  </si>
  <si>
    <t>ZIPRASIDONE SANDOZ</t>
  </si>
  <si>
    <t>ZIPRASIDONE</t>
  </si>
  <si>
    <t>"80 MG CAPSULE RIGIDE" 56 CAPSULE IN BLISTER AL/AL</t>
  </si>
  <si>
    <t>ZIRABEV</t>
  </si>
  <si>
    <t>BEVACIZUMAB</t>
  </si>
  <si>
    <t>25 MG/ML - CONCENTRATO PER SOLUZIONE PER INFUSIONE - USO ENDOVENOSO - FLACONCINO (VETRO) - 4 ML (25 MG/ML) - 1 FLACONCINO</t>
  </si>
  <si>
    <t>ZIRTEC</t>
  </si>
  <si>
    <t>"1 MG/ML SOLUZIONE ORALE"FLACONE 150 ML</t>
  </si>
  <si>
    <t>UCB PHARMA S.P.A.</t>
  </si>
  <si>
    <t>ZITROMAX</t>
  </si>
  <si>
    <t>AZITROMICINA DIIDRATO</t>
  </si>
  <si>
    <t>"500 MG POLVERE PER SOLUZIONE PER INFUSIONE" 1 FLACONCINO</t>
  </si>
  <si>
    <t>ZOFRAN</t>
  </si>
  <si>
    <t>"16 MG SUPPOSTE" 4 SUPPOSTE</t>
  </si>
  <si>
    <t>"40 MG/20 ML SOLUZIONE INIETTABILE" FLACONE DA 20 ML</t>
  </si>
  <si>
    <t>"4 MG/5 ML SCIROPPO" FLACONE 50 ML</t>
  </si>
  <si>
    <t>ZOLMITRIPTAN DOC GENERICI</t>
  </si>
  <si>
    <t>ZOLMITRIPTAN</t>
  </si>
  <si>
    <t>"2,5 MG COMPRESSE RIVESTITE CON FILM" 3 COMPRESSE IN BLISTER AL/AL</t>
  </si>
  <si>
    <t>"2,5 MG COMPRESSE RIVESTITE CON FILM" 6 COMPRESSE IN BLISTER AL/AL</t>
  </si>
  <si>
    <t>ZOMETA</t>
  </si>
  <si>
    <t>ACIDO ZOLEDRONICO MONOIDRATO</t>
  </si>
  <si>
    <t>4 MG POLVERE E SOLVENTE PER SOLUZIONE PER INFUSIONE ENDOVENOSA 1 FLACONCINO + 1 FIALA SOLVENTE 5 ML</t>
  </si>
  <si>
    <t>ZORAC</t>
  </si>
  <si>
    <t>TAZAROTENE</t>
  </si>
  <si>
    <t>GEL ACQUOSO 0,1% 15 G</t>
  </si>
  <si>
    <t>GEL ACQUOSO 0,05% 15 G</t>
  </si>
  <si>
    <t>ZOVIRAX</t>
  </si>
  <si>
    <t>"3% UNGUENTO OFTALMICO" TUBO 4,5 G</t>
  </si>
  <si>
    <t>"500 MG POLVERE PER SOLUZIONE INIETTABILE PER USO ENDOVENOSO"  5 FLACONCINI</t>
  </si>
  <si>
    <t>ZOVIRAXLABIALE</t>
  </si>
  <si>
    <t>"5% CREMA" FLACONE 2 G CON EROGATORE</t>
  </si>
  <si>
    <t>ZYKADIA</t>
  </si>
  <si>
    <t>CERITINIB</t>
  </si>
  <si>
    <t>150 MG - CAPSULA RIGIDA - USO ORALE - BLISTER (PVC/PCTFE/ALU) - 150 (3 X 50) CAPSULE (CONFEZIONE MULTIPLA)</t>
  </si>
  <si>
    <t>ZYVOXID</t>
  </si>
  <si>
    <t>10 SACCHE 300 ML PER INFUSIONE MONOUSO DA 2 MG/ML</t>
  </si>
  <si>
    <t>"2 MG/ML SOLUZIONE PER INFUSIONE" 10 SACCHE MONOUSO FREEFLEX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</si>
</sst>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9"/>
      <color indexed="16"/>
      <name val="Calibri"/>
    </font>
    <font>
      <b/>
      <sz val="11"/>
      <color indexed="9"/>
      <name val="Calibri"/>
    </font>
  </fonts>
  <fills count="7">
    <fill>
      <patternFill patternType="none"/>
    </fill>
    <fill>
      <patternFill patternType="gray125"/>
    </fill>
    <fill>
      <patternFill patternType="solid">
        <fgColor indexed="30"/>
      </patternFill>
    </fill>
    <fill>
      <patternFill patternType="solid">
        <fgColor indexed="50"/>
      </patternFill>
    </fill>
    <fill>
      <patternFill patternType="solid">
        <fgColor indexed="14"/>
      </patternFill>
    </fill>
    <fill>
      <patternFill patternType="solid">
        <fgColor indexed="29"/>
      </patternFill>
    </fill>
    <fill>
      <patternFill patternType="solid">
        <fgColor indexed="47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4049">
    <xf numFmtId="0" fontId="0" fillId="0" borderId="0" xfId="0"/>
    <xf numFmtId="0" fontId="2" fillId="2" borderId="1" xfId="0" applyFont="1" applyFill="1" applyBorder="1"/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0" borderId="0" xfId="0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64"/>
  <sheetViews>
    <sheetView tabSelected="1" workbookViewId="0">
      <selection activeCell="A4" sqref="A4"/>
    </sheetView>
  </sheetViews>
  <sheetFormatPr defaultRowHeight="14.4" x14ac:dyDescent="0.3"/>
  <cols>
    <col min="1" max="1" width="22" bestFit="1" customWidth="1"/>
    <col min="2" max="2" width="17.6640625" bestFit="1" customWidth="1"/>
    <col min="3" max="4" width="29.33203125" bestFit="1" customWidth="1"/>
    <col min="5" max="5" width="22" bestFit="1" customWidth="1"/>
    <col min="6" max="8" width="13.21875" bestFit="1" customWidth="1"/>
    <col min="9" max="9" width="22" bestFit="1" customWidth="1"/>
    <col min="10" max="11" width="29.33203125" bestFit="1" customWidth="1"/>
  </cols>
  <sheetData>
    <row r="1" spans="1:11" x14ac:dyDescent="0.3">
      <c r="A1" s="4048" t="s">
        <v>0</v>
      </c>
      <c r="B1" s="4047"/>
      <c r="C1" s="4047"/>
      <c r="D1" s="4047"/>
      <c r="E1" s="4047"/>
      <c r="F1" s="4047"/>
      <c r="G1" s="4047"/>
      <c r="H1" s="4047"/>
      <c r="I1" s="4047"/>
      <c r="J1" s="4047"/>
      <c r="K1" s="4047"/>
    </row>
    <row r="2" spans="1:11" x14ac:dyDescent="0.3">
      <c r="A2" s="4047" t="s">
        <v>1</v>
      </c>
      <c r="B2" s="4047"/>
      <c r="C2" s="4047"/>
      <c r="D2" s="4047"/>
      <c r="E2" s="4047"/>
      <c r="F2" s="4047"/>
      <c r="G2" s="4047"/>
      <c r="H2" s="4047"/>
      <c r="I2" s="4047"/>
      <c r="J2" s="4047"/>
      <c r="K2" s="4047"/>
    </row>
    <row r="3" spans="1:11" x14ac:dyDescent="0.3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</row>
    <row r="4" spans="1:11" ht="72" x14ac:dyDescent="0.3">
      <c r="A4" s="3" t="s">
        <v>13</v>
      </c>
      <c r="B4" s="3" t="str">
        <f>"045359015"</f>
        <v>045359015</v>
      </c>
      <c r="C4" s="3" t="s">
        <v>14</v>
      </c>
      <c r="D4" s="3" t="s">
        <v>15</v>
      </c>
      <c r="E4" s="3" t="s">
        <v>16</v>
      </c>
      <c r="F4" s="2">
        <v>44217</v>
      </c>
      <c r="G4" s="2"/>
      <c r="H4" s="4" t="s">
        <v>17</v>
      </c>
      <c r="I4" s="5" t="s">
        <v>18</v>
      </c>
      <c r="J4" s="3" t="s">
        <v>19</v>
      </c>
      <c r="K4" s="3"/>
    </row>
    <row r="5" spans="1:11" ht="57.6" x14ac:dyDescent="0.3">
      <c r="A5" s="3" t="s">
        <v>20</v>
      </c>
      <c r="B5" s="3" t="str">
        <f>"044114015"</f>
        <v>044114015</v>
      </c>
      <c r="C5" s="3" t="s">
        <v>14</v>
      </c>
      <c r="D5" s="3" t="s">
        <v>21</v>
      </c>
      <c r="E5" s="3" t="s">
        <v>22</v>
      </c>
      <c r="F5" s="2">
        <v>44227</v>
      </c>
      <c r="G5" s="2"/>
      <c r="H5" s="6" t="s">
        <v>17</v>
      </c>
      <c r="I5" s="7" t="s">
        <v>18</v>
      </c>
      <c r="J5" s="3" t="s">
        <v>19</v>
      </c>
      <c r="K5" s="3"/>
    </row>
    <row r="6" spans="1:11" ht="57.6" x14ac:dyDescent="0.3">
      <c r="A6" s="3" t="s">
        <v>23</v>
      </c>
      <c r="B6" s="3" t="str">
        <f>"044719019"</f>
        <v>044719019</v>
      </c>
      <c r="C6" s="3" t="s">
        <v>14</v>
      </c>
      <c r="D6" s="3" t="s">
        <v>21</v>
      </c>
      <c r="E6" s="3" t="s">
        <v>24</v>
      </c>
      <c r="F6" s="2">
        <v>44136</v>
      </c>
      <c r="G6" s="2"/>
      <c r="H6" s="8" t="s">
        <v>17</v>
      </c>
      <c r="I6" s="9" t="s">
        <v>18</v>
      </c>
      <c r="J6" s="3" t="s">
        <v>19</v>
      </c>
      <c r="K6" s="3"/>
    </row>
    <row r="7" spans="1:11" ht="57.6" x14ac:dyDescent="0.3">
      <c r="A7" s="3" t="s">
        <v>25</v>
      </c>
      <c r="B7" s="3" t="str">
        <f>"044286021"</f>
        <v>044286021</v>
      </c>
      <c r="C7" s="3" t="s">
        <v>14</v>
      </c>
      <c r="D7" s="3" t="s">
        <v>26</v>
      </c>
      <c r="E7" s="3" t="s">
        <v>27</v>
      </c>
      <c r="F7" s="2">
        <v>43923</v>
      </c>
      <c r="G7" s="2"/>
      <c r="H7" s="10" t="s">
        <v>17</v>
      </c>
      <c r="I7" s="11" t="s">
        <v>18</v>
      </c>
      <c r="J7" s="3" t="s">
        <v>19</v>
      </c>
      <c r="K7" s="3"/>
    </row>
    <row r="8" spans="1:11" ht="43.2" x14ac:dyDescent="0.3">
      <c r="A8" s="3" t="s">
        <v>28</v>
      </c>
      <c r="B8" s="3" t="str">
        <f>"025358045"</f>
        <v>025358045</v>
      </c>
      <c r="C8" s="3" t="s">
        <v>29</v>
      </c>
      <c r="D8" s="3" t="s">
        <v>30</v>
      </c>
      <c r="E8" s="3" t="s">
        <v>31</v>
      </c>
      <c r="F8" s="2">
        <v>43497</v>
      </c>
      <c r="G8" s="2"/>
      <c r="H8" s="12" t="s">
        <v>17</v>
      </c>
      <c r="I8" s="13" t="s">
        <v>32</v>
      </c>
      <c r="J8" s="3" t="s">
        <v>19</v>
      </c>
      <c r="K8" s="3"/>
    </row>
    <row r="9" spans="1:11" ht="86.4" x14ac:dyDescent="0.3">
      <c r="A9" s="3" t="s">
        <v>33</v>
      </c>
      <c r="B9" s="3" t="str">
        <f>"038736070"</f>
        <v>038736070</v>
      </c>
      <c r="C9" s="3" t="s">
        <v>34</v>
      </c>
      <c r="D9" s="3" t="s">
        <v>35</v>
      </c>
      <c r="E9" s="3" t="s">
        <v>36</v>
      </c>
      <c r="F9" s="2">
        <v>44105</v>
      </c>
      <c r="G9" s="2">
        <v>44165</v>
      </c>
      <c r="H9" s="14" t="s">
        <v>37</v>
      </c>
      <c r="I9" s="3" t="s">
        <v>38</v>
      </c>
      <c r="J9" s="3" t="s">
        <v>39</v>
      </c>
      <c r="K9" s="3"/>
    </row>
    <row r="10" spans="1:11" ht="86.4" x14ac:dyDescent="0.3">
      <c r="A10" s="3" t="s">
        <v>33</v>
      </c>
      <c r="B10" s="3" t="str">
        <f>"038736094"</f>
        <v>038736094</v>
      </c>
      <c r="C10" s="3" t="s">
        <v>34</v>
      </c>
      <c r="D10" s="3" t="s">
        <v>40</v>
      </c>
      <c r="E10" s="3" t="s">
        <v>36</v>
      </c>
      <c r="F10" s="2">
        <v>44035</v>
      </c>
      <c r="G10" s="2">
        <v>44165</v>
      </c>
      <c r="H10" s="15" t="s">
        <v>37</v>
      </c>
      <c r="I10" s="3" t="s">
        <v>41</v>
      </c>
      <c r="J10" s="3" t="s">
        <v>39</v>
      </c>
      <c r="K10" s="3"/>
    </row>
    <row r="11" spans="1:11" ht="86.4" x14ac:dyDescent="0.3">
      <c r="A11" s="3" t="s">
        <v>33</v>
      </c>
      <c r="B11" s="3" t="str">
        <f>"038736118"</f>
        <v>038736118</v>
      </c>
      <c r="C11" s="3" t="s">
        <v>34</v>
      </c>
      <c r="D11" s="3" t="s">
        <v>42</v>
      </c>
      <c r="E11" s="3" t="s">
        <v>36</v>
      </c>
      <c r="F11" s="2">
        <v>44105</v>
      </c>
      <c r="G11" s="2">
        <v>44165</v>
      </c>
      <c r="H11" s="16" t="s">
        <v>37</v>
      </c>
      <c r="I11" s="3" t="s">
        <v>41</v>
      </c>
      <c r="J11" s="3" t="s">
        <v>39</v>
      </c>
      <c r="K11" s="3"/>
    </row>
    <row r="12" spans="1:11" ht="72" x14ac:dyDescent="0.3">
      <c r="A12" s="3" t="s">
        <v>43</v>
      </c>
      <c r="B12" s="3" t="str">
        <f>"043755038"</f>
        <v>043755038</v>
      </c>
      <c r="C12" s="3" t="s">
        <v>44</v>
      </c>
      <c r="D12" s="3" t="s">
        <v>45</v>
      </c>
      <c r="E12" s="3" t="s">
        <v>46</v>
      </c>
      <c r="F12" s="2">
        <v>43966</v>
      </c>
      <c r="G12" s="2">
        <v>44592</v>
      </c>
      <c r="H12" s="17" t="s">
        <v>17</v>
      </c>
      <c r="I12" s="18" t="s">
        <v>32</v>
      </c>
      <c r="J12" s="3" t="s">
        <v>19</v>
      </c>
      <c r="K12" s="3"/>
    </row>
    <row r="13" spans="1:11" ht="86.4" x14ac:dyDescent="0.3">
      <c r="A13" s="3" t="s">
        <v>47</v>
      </c>
      <c r="B13" s="3" t="str">
        <f>"043615119"</f>
        <v>043615119</v>
      </c>
      <c r="C13" s="3" t="s">
        <v>48</v>
      </c>
      <c r="D13" s="3" t="s">
        <v>49</v>
      </c>
      <c r="E13" s="3" t="s">
        <v>16</v>
      </c>
      <c r="F13" s="2">
        <v>43228</v>
      </c>
      <c r="G13" s="2"/>
      <c r="H13" s="19" t="s">
        <v>17</v>
      </c>
      <c r="I13" s="20" t="s">
        <v>32</v>
      </c>
      <c r="J13" s="3" t="s">
        <v>19</v>
      </c>
      <c r="K13" s="3"/>
    </row>
    <row r="14" spans="1:11" ht="43.2" x14ac:dyDescent="0.3">
      <c r="A14" s="3" t="s">
        <v>50</v>
      </c>
      <c r="B14" s="3" t="str">
        <f>"033429022"</f>
        <v>033429022</v>
      </c>
      <c r="C14" s="3" t="s">
        <v>51</v>
      </c>
      <c r="D14" s="3" t="s">
        <v>52</v>
      </c>
      <c r="E14" s="3" t="s">
        <v>53</v>
      </c>
      <c r="F14" s="2">
        <v>42303</v>
      </c>
      <c r="G14" s="2"/>
      <c r="H14" s="21" t="s">
        <v>17</v>
      </c>
      <c r="I14" s="3" t="s">
        <v>41</v>
      </c>
      <c r="J14" s="3" t="s">
        <v>19</v>
      </c>
      <c r="K14" s="3"/>
    </row>
    <row r="15" spans="1:11" ht="43.2" x14ac:dyDescent="0.3">
      <c r="A15" s="3" t="s">
        <v>54</v>
      </c>
      <c r="B15" s="3" t="str">
        <f>"034212047"</f>
        <v>034212047</v>
      </c>
      <c r="C15" s="3" t="s">
        <v>51</v>
      </c>
      <c r="D15" s="3" t="s">
        <v>55</v>
      </c>
      <c r="E15" s="3" t="s">
        <v>56</v>
      </c>
      <c r="F15" s="2">
        <v>43304</v>
      </c>
      <c r="G15" s="2"/>
      <c r="H15" s="22" t="s">
        <v>17</v>
      </c>
      <c r="I15" s="23" t="s">
        <v>18</v>
      </c>
      <c r="J15" s="3" t="s">
        <v>19</v>
      </c>
      <c r="K15" s="3"/>
    </row>
    <row r="16" spans="1:11" ht="43.2" x14ac:dyDescent="0.3">
      <c r="A16" s="3" t="s">
        <v>57</v>
      </c>
      <c r="B16" s="3" t="str">
        <f>"034311023"</f>
        <v>034311023</v>
      </c>
      <c r="C16" s="3" t="s">
        <v>51</v>
      </c>
      <c r="D16" s="3" t="s">
        <v>58</v>
      </c>
      <c r="E16" s="3" t="s">
        <v>59</v>
      </c>
      <c r="F16" s="2">
        <v>43252</v>
      </c>
      <c r="G16" s="2"/>
      <c r="H16" s="24" t="s">
        <v>17</v>
      </c>
      <c r="I16" s="3" t="s">
        <v>41</v>
      </c>
      <c r="J16" s="3" t="s">
        <v>19</v>
      </c>
      <c r="K16" s="3"/>
    </row>
    <row r="17" spans="1:11" ht="43.2" x14ac:dyDescent="0.3">
      <c r="A17" s="3" t="s">
        <v>57</v>
      </c>
      <c r="B17" s="3" t="str">
        <f>"034311047"</f>
        <v>034311047</v>
      </c>
      <c r="C17" s="3" t="s">
        <v>51</v>
      </c>
      <c r="D17" s="3" t="s">
        <v>60</v>
      </c>
      <c r="E17" s="3" t="s">
        <v>59</v>
      </c>
      <c r="F17" s="2">
        <v>43252</v>
      </c>
      <c r="G17" s="2"/>
      <c r="H17" s="25" t="s">
        <v>17</v>
      </c>
      <c r="I17" s="3" t="s">
        <v>41</v>
      </c>
      <c r="J17" s="3" t="s">
        <v>19</v>
      </c>
      <c r="K17" s="3"/>
    </row>
    <row r="18" spans="1:11" ht="43.2" x14ac:dyDescent="0.3">
      <c r="A18" s="3" t="s">
        <v>57</v>
      </c>
      <c r="B18" s="3" t="str">
        <f>"034311074"</f>
        <v>034311074</v>
      </c>
      <c r="C18" s="3" t="s">
        <v>51</v>
      </c>
      <c r="D18" s="3" t="s">
        <v>61</v>
      </c>
      <c r="E18" s="3" t="s">
        <v>59</v>
      </c>
      <c r="F18" s="2">
        <v>43252</v>
      </c>
      <c r="G18" s="2"/>
      <c r="H18" s="26" t="s">
        <v>17</v>
      </c>
      <c r="I18" s="3" t="s">
        <v>41</v>
      </c>
      <c r="J18" s="3" t="s">
        <v>19</v>
      </c>
      <c r="K18" s="3"/>
    </row>
    <row r="19" spans="1:11" ht="43.2" x14ac:dyDescent="0.3">
      <c r="A19" s="3" t="s">
        <v>62</v>
      </c>
      <c r="B19" s="3" t="str">
        <f>"032927030"</f>
        <v>032927030</v>
      </c>
      <c r="C19" s="3" t="s">
        <v>51</v>
      </c>
      <c r="D19" s="3" t="s">
        <v>63</v>
      </c>
      <c r="E19" s="3" t="s">
        <v>64</v>
      </c>
      <c r="F19" s="2">
        <v>43777</v>
      </c>
      <c r="G19" s="2"/>
      <c r="H19" s="27" t="s">
        <v>37</v>
      </c>
      <c r="I19" s="28" t="s">
        <v>18</v>
      </c>
      <c r="J19" s="3" t="s">
        <v>19</v>
      </c>
      <c r="K19" s="3"/>
    </row>
    <row r="20" spans="1:11" ht="43.2" x14ac:dyDescent="0.3">
      <c r="A20" s="3" t="s">
        <v>62</v>
      </c>
      <c r="B20" s="3" t="str">
        <f>"032927055"</f>
        <v>032927055</v>
      </c>
      <c r="C20" s="3" t="s">
        <v>51</v>
      </c>
      <c r="D20" s="3" t="s">
        <v>61</v>
      </c>
      <c r="E20" s="3" t="s">
        <v>64</v>
      </c>
      <c r="F20" s="2">
        <v>43777</v>
      </c>
      <c r="G20" s="2"/>
      <c r="H20" s="29" t="s">
        <v>37</v>
      </c>
      <c r="I20" s="30" t="s">
        <v>18</v>
      </c>
      <c r="J20" s="3" t="s">
        <v>19</v>
      </c>
      <c r="K20" s="3"/>
    </row>
    <row r="21" spans="1:11" ht="43.2" x14ac:dyDescent="0.3">
      <c r="A21" s="3" t="s">
        <v>62</v>
      </c>
      <c r="B21" s="3" t="str">
        <f>"032927067"</f>
        <v>032927067</v>
      </c>
      <c r="C21" s="3" t="s">
        <v>51</v>
      </c>
      <c r="D21" s="3" t="s">
        <v>65</v>
      </c>
      <c r="E21" s="3" t="s">
        <v>64</v>
      </c>
      <c r="F21" s="2">
        <v>43777</v>
      </c>
      <c r="G21" s="2"/>
      <c r="H21" s="31" t="s">
        <v>37</v>
      </c>
      <c r="I21" s="32" t="s">
        <v>18</v>
      </c>
      <c r="J21" s="3" t="s">
        <v>19</v>
      </c>
      <c r="K21" s="3"/>
    </row>
    <row r="22" spans="1:11" ht="43.2" x14ac:dyDescent="0.3">
      <c r="A22" s="3" t="s">
        <v>62</v>
      </c>
      <c r="B22" s="3" t="str">
        <f>"032927079"</f>
        <v>032927079</v>
      </c>
      <c r="C22" s="3" t="s">
        <v>51</v>
      </c>
      <c r="D22" s="3" t="s">
        <v>66</v>
      </c>
      <c r="E22" s="3" t="s">
        <v>64</v>
      </c>
      <c r="F22" s="2">
        <v>43777</v>
      </c>
      <c r="G22" s="2"/>
      <c r="H22" s="33" t="s">
        <v>37</v>
      </c>
      <c r="I22" s="34" t="s">
        <v>18</v>
      </c>
      <c r="J22" s="3" t="s">
        <v>19</v>
      </c>
      <c r="K22" s="3"/>
    </row>
    <row r="23" spans="1:11" ht="43.2" x14ac:dyDescent="0.3">
      <c r="A23" s="3" t="s">
        <v>62</v>
      </c>
      <c r="B23" s="3" t="str">
        <f>"032927081"</f>
        <v>032927081</v>
      </c>
      <c r="C23" s="3" t="s">
        <v>51</v>
      </c>
      <c r="D23" s="3" t="s">
        <v>67</v>
      </c>
      <c r="E23" s="3" t="s">
        <v>64</v>
      </c>
      <c r="F23" s="2">
        <v>43777</v>
      </c>
      <c r="G23" s="2"/>
      <c r="H23" s="35" t="s">
        <v>17</v>
      </c>
      <c r="I23" s="36" t="s">
        <v>18</v>
      </c>
      <c r="J23" s="3" t="s">
        <v>19</v>
      </c>
      <c r="K23" s="3"/>
    </row>
    <row r="24" spans="1:11" ht="43.2" x14ac:dyDescent="0.3">
      <c r="A24" s="3" t="s">
        <v>68</v>
      </c>
      <c r="B24" s="3" t="str">
        <f>"033045030"</f>
        <v>033045030</v>
      </c>
      <c r="C24" s="3" t="s">
        <v>51</v>
      </c>
      <c r="D24" s="3" t="s">
        <v>69</v>
      </c>
      <c r="E24" s="3" t="s">
        <v>70</v>
      </c>
      <c r="F24" s="2">
        <v>43556</v>
      </c>
      <c r="G24" s="2">
        <v>44074</v>
      </c>
      <c r="H24" s="37" t="s">
        <v>17</v>
      </c>
      <c r="I24" s="3" t="s">
        <v>41</v>
      </c>
      <c r="J24" s="3" t="s">
        <v>19</v>
      </c>
      <c r="K24" s="3"/>
    </row>
    <row r="25" spans="1:11" ht="43.2" x14ac:dyDescent="0.3">
      <c r="A25" s="3" t="s">
        <v>71</v>
      </c>
      <c r="B25" s="3" t="str">
        <f>"031310028"</f>
        <v>031310028</v>
      </c>
      <c r="C25" s="3" t="s">
        <v>72</v>
      </c>
      <c r="D25" s="3" t="s">
        <v>73</v>
      </c>
      <c r="E25" s="3" t="s">
        <v>74</v>
      </c>
      <c r="F25" s="2">
        <v>43497</v>
      </c>
      <c r="G25" s="2"/>
      <c r="H25" s="38" t="s">
        <v>17</v>
      </c>
      <c r="I25" s="39" t="s">
        <v>32</v>
      </c>
      <c r="J25" s="3" t="s">
        <v>19</v>
      </c>
      <c r="K25" s="3"/>
    </row>
    <row r="26" spans="1:11" ht="43.2" x14ac:dyDescent="0.3">
      <c r="A26" s="3" t="s">
        <v>75</v>
      </c>
      <c r="B26" s="3" t="str">
        <f>"035014012"</f>
        <v>035014012</v>
      </c>
      <c r="C26" s="3" t="s">
        <v>76</v>
      </c>
      <c r="D26" s="3" t="s">
        <v>77</v>
      </c>
      <c r="E26" s="3" t="s">
        <v>24</v>
      </c>
      <c r="F26" s="2">
        <v>43724</v>
      </c>
      <c r="G26" s="2"/>
      <c r="H26" s="40" t="s">
        <v>17</v>
      </c>
      <c r="I26" s="41" t="s">
        <v>18</v>
      </c>
      <c r="J26" s="3" t="s">
        <v>19</v>
      </c>
      <c r="K26" s="3"/>
    </row>
    <row r="27" spans="1:11" ht="72" x14ac:dyDescent="0.3">
      <c r="A27" s="3" t="s">
        <v>78</v>
      </c>
      <c r="B27" s="3" t="str">
        <f>"042505026"</f>
        <v>042505026</v>
      </c>
      <c r="C27" s="3" t="s">
        <v>79</v>
      </c>
      <c r="D27" s="3" t="s">
        <v>80</v>
      </c>
      <c r="E27" s="3" t="s">
        <v>16</v>
      </c>
      <c r="F27" s="2">
        <v>44207</v>
      </c>
      <c r="G27" s="2">
        <v>44327</v>
      </c>
      <c r="H27" s="42" t="s">
        <v>17</v>
      </c>
      <c r="I27" s="3" t="s">
        <v>41</v>
      </c>
      <c r="J27" s="3" t="s">
        <v>19</v>
      </c>
      <c r="K27" s="3"/>
    </row>
    <row r="28" spans="1:11" ht="43.2" x14ac:dyDescent="0.3">
      <c r="A28" s="3" t="s">
        <v>81</v>
      </c>
      <c r="B28" s="3" t="str">
        <f>"040554053"</f>
        <v>040554053</v>
      </c>
      <c r="C28" s="3" t="s">
        <v>79</v>
      </c>
      <c r="D28" s="3" t="s">
        <v>82</v>
      </c>
      <c r="E28" s="3" t="s">
        <v>83</v>
      </c>
      <c r="F28" s="2">
        <v>44011</v>
      </c>
      <c r="G28" s="2"/>
      <c r="H28" s="43" t="s">
        <v>17</v>
      </c>
      <c r="I28" s="44" t="s">
        <v>18</v>
      </c>
      <c r="J28" s="3" t="s">
        <v>19</v>
      </c>
      <c r="K28" s="3"/>
    </row>
    <row r="29" spans="1:11" ht="43.2" x14ac:dyDescent="0.3">
      <c r="A29" s="3" t="s">
        <v>84</v>
      </c>
      <c r="B29" s="3" t="str">
        <f>"042419034"</f>
        <v>042419034</v>
      </c>
      <c r="C29" s="3" t="s">
        <v>79</v>
      </c>
      <c r="D29" s="3" t="s">
        <v>85</v>
      </c>
      <c r="E29" s="3" t="s">
        <v>70</v>
      </c>
      <c r="F29" s="2">
        <v>43617</v>
      </c>
      <c r="G29" s="2">
        <v>43881</v>
      </c>
      <c r="H29" s="45" t="s">
        <v>17</v>
      </c>
      <c r="I29" s="3" t="s">
        <v>41</v>
      </c>
      <c r="J29" s="3" t="s">
        <v>19</v>
      </c>
      <c r="K29" s="3"/>
    </row>
    <row r="30" spans="1:11" ht="43.2" x14ac:dyDescent="0.3">
      <c r="A30" s="3" t="s">
        <v>86</v>
      </c>
      <c r="B30" s="3" t="str">
        <f>"043305034"</f>
        <v>043305034</v>
      </c>
      <c r="C30" s="3" t="s">
        <v>87</v>
      </c>
      <c r="D30" s="3" t="s">
        <v>88</v>
      </c>
      <c r="E30" s="3" t="s">
        <v>16</v>
      </c>
      <c r="F30" s="2">
        <v>44166</v>
      </c>
      <c r="G30" s="2">
        <v>44286</v>
      </c>
      <c r="H30" s="46" t="s">
        <v>17</v>
      </c>
      <c r="I30" s="3" t="s">
        <v>41</v>
      </c>
      <c r="J30" s="3" t="s">
        <v>19</v>
      </c>
      <c r="K30" s="3"/>
    </row>
    <row r="31" spans="1:11" ht="43.2" x14ac:dyDescent="0.3">
      <c r="A31" s="3" t="s">
        <v>86</v>
      </c>
      <c r="B31" s="3" t="str">
        <f>"043305061"</f>
        <v>043305061</v>
      </c>
      <c r="C31" s="3" t="s">
        <v>87</v>
      </c>
      <c r="D31" s="3" t="s">
        <v>89</v>
      </c>
      <c r="E31" s="3" t="s">
        <v>16</v>
      </c>
      <c r="F31" s="2">
        <v>44012</v>
      </c>
      <c r="G31" s="2">
        <v>44196</v>
      </c>
      <c r="H31" s="47" t="s">
        <v>17</v>
      </c>
      <c r="I31" s="3" t="s">
        <v>41</v>
      </c>
      <c r="J31" s="3" t="s">
        <v>19</v>
      </c>
      <c r="K31" s="3"/>
    </row>
    <row r="32" spans="1:11" ht="43.2" x14ac:dyDescent="0.3">
      <c r="A32" s="3" t="s">
        <v>90</v>
      </c>
      <c r="B32" s="3" t="str">
        <f>"044281018"</f>
        <v>044281018</v>
      </c>
      <c r="C32" s="3"/>
      <c r="D32" s="3" t="s">
        <v>91</v>
      </c>
      <c r="E32" s="3" t="s">
        <v>16</v>
      </c>
      <c r="F32" s="2">
        <v>44123</v>
      </c>
      <c r="G32" s="2">
        <v>44377</v>
      </c>
      <c r="H32" s="48" t="s">
        <v>17</v>
      </c>
      <c r="I32" s="3" t="s">
        <v>92</v>
      </c>
      <c r="J32" s="3" t="s">
        <v>19</v>
      </c>
      <c r="K32" s="3"/>
    </row>
    <row r="33" spans="1:11" ht="43.2" x14ac:dyDescent="0.3">
      <c r="A33" s="3" t="s">
        <v>93</v>
      </c>
      <c r="B33" s="3" t="str">
        <f>"033094018"</f>
        <v>033094018</v>
      </c>
      <c r="C33" s="3" t="s">
        <v>94</v>
      </c>
      <c r="D33" s="3" t="s">
        <v>95</v>
      </c>
      <c r="E33" s="3" t="s">
        <v>56</v>
      </c>
      <c r="F33" s="2">
        <v>43983</v>
      </c>
      <c r="G33" s="2"/>
      <c r="H33" s="49" t="s">
        <v>17</v>
      </c>
      <c r="I33" s="50" t="s">
        <v>18</v>
      </c>
      <c r="J33" s="3" t="s">
        <v>19</v>
      </c>
      <c r="K33" s="3"/>
    </row>
    <row r="34" spans="1:11" ht="43.2" x14ac:dyDescent="0.3">
      <c r="A34" s="3" t="s">
        <v>93</v>
      </c>
      <c r="B34" s="3" t="str">
        <f>"033094020"</f>
        <v>033094020</v>
      </c>
      <c r="C34" s="3" t="s">
        <v>94</v>
      </c>
      <c r="D34" s="3" t="s">
        <v>96</v>
      </c>
      <c r="E34" s="3" t="s">
        <v>56</v>
      </c>
      <c r="F34" s="2">
        <v>43983</v>
      </c>
      <c r="G34" s="2"/>
      <c r="H34" s="51" t="s">
        <v>17</v>
      </c>
      <c r="I34" s="52" t="s">
        <v>18</v>
      </c>
      <c r="J34" s="3" t="s">
        <v>19</v>
      </c>
      <c r="K34" s="3"/>
    </row>
    <row r="35" spans="1:11" ht="43.2" x14ac:dyDescent="0.3">
      <c r="A35" s="3" t="s">
        <v>97</v>
      </c>
      <c r="B35" s="3" t="str">
        <f>"033564030"</f>
        <v>033564030</v>
      </c>
      <c r="C35" s="3" t="s">
        <v>94</v>
      </c>
      <c r="D35" s="3" t="s">
        <v>98</v>
      </c>
      <c r="E35" s="3" t="s">
        <v>99</v>
      </c>
      <c r="F35" s="2">
        <v>44035</v>
      </c>
      <c r="G35" s="2">
        <v>44255</v>
      </c>
      <c r="H35" s="53" t="s">
        <v>17</v>
      </c>
      <c r="I35" s="3" t="s">
        <v>41</v>
      </c>
      <c r="J35" s="3" t="s">
        <v>19</v>
      </c>
      <c r="K35" s="3"/>
    </row>
    <row r="36" spans="1:11" ht="43.2" x14ac:dyDescent="0.3">
      <c r="A36" s="3" t="s">
        <v>100</v>
      </c>
      <c r="B36" s="3" t="str">
        <f>"037839115"</f>
        <v>037839115</v>
      </c>
      <c r="C36" s="3" t="s">
        <v>101</v>
      </c>
      <c r="D36" s="3" t="s">
        <v>102</v>
      </c>
      <c r="E36" s="3" t="s">
        <v>103</v>
      </c>
      <c r="F36" s="2">
        <v>43956</v>
      </c>
      <c r="G36" s="2">
        <v>44196</v>
      </c>
      <c r="H36" s="54" t="s">
        <v>17</v>
      </c>
      <c r="I36" s="3" t="s">
        <v>104</v>
      </c>
      <c r="J36" s="3" t="s">
        <v>19</v>
      </c>
      <c r="K36" s="3"/>
    </row>
    <row r="37" spans="1:11" ht="43.2" x14ac:dyDescent="0.3">
      <c r="A37" s="3" t="s">
        <v>105</v>
      </c>
      <c r="B37" s="3" t="str">
        <f>"036334011"</f>
        <v>036334011</v>
      </c>
      <c r="C37" s="3" t="s">
        <v>101</v>
      </c>
      <c r="D37" s="3" t="s">
        <v>106</v>
      </c>
      <c r="E37" s="3" t="s">
        <v>107</v>
      </c>
      <c r="F37" s="2">
        <v>43948</v>
      </c>
      <c r="G37" s="2"/>
      <c r="H37" s="55" t="s">
        <v>17</v>
      </c>
      <c r="I37" s="3" t="s">
        <v>41</v>
      </c>
      <c r="J37" s="3" t="s">
        <v>19</v>
      </c>
      <c r="K37" s="3"/>
    </row>
    <row r="38" spans="1:11" ht="43.2" x14ac:dyDescent="0.3">
      <c r="A38" s="3" t="s">
        <v>105</v>
      </c>
      <c r="B38" s="3" t="str">
        <f>"036334023"</f>
        <v>036334023</v>
      </c>
      <c r="C38" s="3" t="s">
        <v>101</v>
      </c>
      <c r="D38" s="3" t="s">
        <v>108</v>
      </c>
      <c r="E38" s="3" t="s">
        <v>107</v>
      </c>
      <c r="F38" s="2">
        <v>44002</v>
      </c>
      <c r="G38" s="2"/>
      <c r="H38" s="56" t="s">
        <v>17</v>
      </c>
      <c r="I38" s="3" t="s">
        <v>41</v>
      </c>
      <c r="J38" s="3" t="s">
        <v>19</v>
      </c>
      <c r="K38" s="3"/>
    </row>
    <row r="39" spans="1:11" ht="57.6" x14ac:dyDescent="0.3">
      <c r="A39" s="3" t="s">
        <v>109</v>
      </c>
      <c r="B39" s="3" t="str">
        <f>"042090011"</f>
        <v>042090011</v>
      </c>
      <c r="C39" s="3" t="s">
        <v>110</v>
      </c>
      <c r="D39" s="3" t="s">
        <v>111</v>
      </c>
      <c r="E39" s="3" t="s">
        <v>112</v>
      </c>
      <c r="F39" s="2">
        <v>43264</v>
      </c>
      <c r="G39" s="2"/>
      <c r="H39" s="57" t="s">
        <v>17</v>
      </c>
      <c r="I39" s="58" t="s">
        <v>32</v>
      </c>
      <c r="J39" s="3" t="s">
        <v>19</v>
      </c>
      <c r="K39" s="3"/>
    </row>
    <row r="40" spans="1:11" ht="57.6" x14ac:dyDescent="0.3">
      <c r="A40" s="3" t="s">
        <v>113</v>
      </c>
      <c r="B40" s="3" t="str">
        <f>"042486035"</f>
        <v>042486035</v>
      </c>
      <c r="C40" s="3" t="s">
        <v>110</v>
      </c>
      <c r="D40" s="3" t="s">
        <v>114</v>
      </c>
      <c r="E40" s="3" t="s">
        <v>115</v>
      </c>
      <c r="F40" s="2">
        <v>42725</v>
      </c>
      <c r="G40" s="2"/>
      <c r="H40" s="59" t="s">
        <v>17</v>
      </c>
      <c r="I40" s="60" t="s">
        <v>18</v>
      </c>
      <c r="J40" s="3" t="s">
        <v>19</v>
      </c>
      <c r="K40" s="3"/>
    </row>
    <row r="41" spans="1:11" ht="72" x14ac:dyDescent="0.3">
      <c r="A41" s="3" t="s">
        <v>113</v>
      </c>
      <c r="B41" s="3" t="str">
        <f>"042486023"</f>
        <v>042486023</v>
      </c>
      <c r="C41" s="3" t="s">
        <v>110</v>
      </c>
      <c r="D41" s="3" t="s">
        <v>116</v>
      </c>
      <c r="E41" s="3" t="s">
        <v>115</v>
      </c>
      <c r="F41" s="2">
        <v>42739</v>
      </c>
      <c r="G41" s="2"/>
      <c r="H41" s="61" t="s">
        <v>17</v>
      </c>
      <c r="I41" s="62" t="s">
        <v>18</v>
      </c>
      <c r="J41" s="3" t="s">
        <v>19</v>
      </c>
      <c r="K41" s="3"/>
    </row>
    <row r="42" spans="1:11" ht="57.6" x14ac:dyDescent="0.3">
      <c r="A42" s="3" t="s">
        <v>117</v>
      </c>
      <c r="B42" s="3" t="str">
        <f>"041518022"</f>
        <v>041518022</v>
      </c>
      <c r="C42" s="3" t="s">
        <v>110</v>
      </c>
      <c r="D42" s="3" t="s">
        <v>118</v>
      </c>
      <c r="E42" s="3" t="s">
        <v>119</v>
      </c>
      <c r="F42" s="2">
        <v>43922</v>
      </c>
      <c r="G42" s="2">
        <v>44469</v>
      </c>
      <c r="H42" s="63" t="s">
        <v>17</v>
      </c>
      <c r="I42" s="64" t="s">
        <v>32</v>
      </c>
      <c r="J42" s="3" t="s">
        <v>19</v>
      </c>
      <c r="K42" s="3"/>
    </row>
    <row r="43" spans="1:11" ht="57.6" x14ac:dyDescent="0.3">
      <c r="A43" s="3" t="s">
        <v>120</v>
      </c>
      <c r="B43" s="3" t="str">
        <f>"042230045"</f>
        <v>042230045</v>
      </c>
      <c r="C43" s="3" t="s">
        <v>110</v>
      </c>
      <c r="D43" s="3" t="s">
        <v>121</v>
      </c>
      <c r="E43" s="3" t="s">
        <v>122</v>
      </c>
      <c r="F43" s="2">
        <v>42522</v>
      </c>
      <c r="G43" s="2"/>
      <c r="H43" s="65" t="s">
        <v>17</v>
      </c>
      <c r="I43" s="66" t="s">
        <v>18</v>
      </c>
      <c r="J43" s="3" t="s">
        <v>19</v>
      </c>
      <c r="K43" s="3"/>
    </row>
    <row r="44" spans="1:11" ht="43.2" x14ac:dyDescent="0.3">
      <c r="A44" s="3" t="s">
        <v>123</v>
      </c>
      <c r="B44" s="3" t="str">
        <f>"039615012"</f>
        <v>039615012</v>
      </c>
      <c r="C44" s="3" t="s">
        <v>124</v>
      </c>
      <c r="D44" s="3" t="s">
        <v>125</v>
      </c>
      <c r="E44" s="3" t="s">
        <v>126</v>
      </c>
      <c r="F44" s="2">
        <v>43191</v>
      </c>
      <c r="G44" s="2"/>
      <c r="H44" s="67" t="s">
        <v>17</v>
      </c>
      <c r="I44" s="68" t="s">
        <v>32</v>
      </c>
      <c r="J44" s="3" t="s">
        <v>19</v>
      </c>
      <c r="K44" s="3"/>
    </row>
    <row r="45" spans="1:11" ht="43.2" x14ac:dyDescent="0.3">
      <c r="A45" s="3" t="s">
        <v>127</v>
      </c>
      <c r="B45" s="3" t="str">
        <f>"029129069"</f>
        <v>029129069</v>
      </c>
      <c r="C45" s="3" t="s">
        <v>128</v>
      </c>
      <c r="D45" s="3" t="s">
        <v>129</v>
      </c>
      <c r="E45" s="3" t="s">
        <v>130</v>
      </c>
      <c r="F45" s="2">
        <v>44227</v>
      </c>
      <c r="G45" s="2"/>
      <c r="H45" s="69" t="s">
        <v>17</v>
      </c>
      <c r="I45" s="70" t="s">
        <v>18</v>
      </c>
      <c r="J45" s="3" t="s">
        <v>19</v>
      </c>
      <c r="K45" s="3"/>
    </row>
    <row r="46" spans="1:11" ht="43.2" x14ac:dyDescent="0.3">
      <c r="A46" s="3" t="s">
        <v>131</v>
      </c>
      <c r="B46" s="3" t="str">
        <f>"024823066"</f>
        <v>024823066</v>
      </c>
      <c r="C46" s="3" t="s">
        <v>132</v>
      </c>
      <c r="D46" s="3" t="s">
        <v>133</v>
      </c>
      <c r="E46" s="3" t="s">
        <v>130</v>
      </c>
      <c r="F46" s="2">
        <v>43530</v>
      </c>
      <c r="G46" s="2"/>
      <c r="H46" s="71" t="s">
        <v>37</v>
      </c>
      <c r="I46" s="72" t="s">
        <v>32</v>
      </c>
      <c r="J46" s="3" t="s">
        <v>19</v>
      </c>
      <c r="K46" s="3"/>
    </row>
    <row r="47" spans="1:11" ht="86.4" x14ac:dyDescent="0.3">
      <c r="A47" s="3" t="s">
        <v>134</v>
      </c>
      <c r="B47" s="3" t="str">
        <f>"035399017"</f>
        <v>035399017</v>
      </c>
      <c r="C47" s="3" t="s">
        <v>34</v>
      </c>
      <c r="D47" s="3" t="s">
        <v>135</v>
      </c>
      <c r="E47" s="3" t="s">
        <v>27</v>
      </c>
      <c r="F47" s="2">
        <v>44027</v>
      </c>
      <c r="G47" s="2"/>
      <c r="H47" s="73" t="s">
        <v>37</v>
      </c>
      <c r="I47" s="74" t="s">
        <v>18</v>
      </c>
      <c r="J47" s="3" t="s">
        <v>19</v>
      </c>
      <c r="K47" s="3" t="s">
        <v>136</v>
      </c>
    </row>
    <row r="48" spans="1:11" ht="86.4" x14ac:dyDescent="0.3">
      <c r="A48" s="3" t="s">
        <v>134</v>
      </c>
      <c r="B48" s="3" t="str">
        <f>"035399056"</f>
        <v>035399056</v>
      </c>
      <c r="C48" s="3" t="s">
        <v>34</v>
      </c>
      <c r="D48" s="3" t="s">
        <v>137</v>
      </c>
      <c r="E48" s="3" t="s">
        <v>27</v>
      </c>
      <c r="F48" s="2">
        <v>43951</v>
      </c>
      <c r="G48" s="2"/>
      <c r="H48" s="75" t="s">
        <v>37</v>
      </c>
      <c r="I48" s="76" t="s">
        <v>18</v>
      </c>
      <c r="J48" s="3" t="s">
        <v>19</v>
      </c>
      <c r="K48" s="3" t="s">
        <v>138</v>
      </c>
    </row>
    <row r="49" spans="1:11" ht="86.4" x14ac:dyDescent="0.3">
      <c r="A49" s="3" t="s">
        <v>134</v>
      </c>
      <c r="B49" s="3" t="str">
        <f>"035399094"</f>
        <v>035399094</v>
      </c>
      <c r="C49" s="3" t="s">
        <v>34</v>
      </c>
      <c r="D49" s="3" t="s">
        <v>139</v>
      </c>
      <c r="E49" s="3" t="s">
        <v>27</v>
      </c>
      <c r="F49" s="2">
        <v>44056</v>
      </c>
      <c r="G49" s="2"/>
      <c r="H49" s="77" t="s">
        <v>37</v>
      </c>
      <c r="I49" s="78" t="s">
        <v>18</v>
      </c>
      <c r="J49" s="3" t="s">
        <v>19</v>
      </c>
      <c r="K49" s="3" t="s">
        <v>140</v>
      </c>
    </row>
    <row r="50" spans="1:11" ht="57.6" x14ac:dyDescent="0.3">
      <c r="A50" s="3" t="s">
        <v>134</v>
      </c>
      <c r="B50" s="3" t="str">
        <f>"035399132"</f>
        <v>035399132</v>
      </c>
      <c r="C50" s="3" t="s">
        <v>34</v>
      </c>
      <c r="D50" s="3" t="s">
        <v>141</v>
      </c>
      <c r="E50" s="3" t="s">
        <v>27</v>
      </c>
      <c r="F50" s="2">
        <v>44439</v>
      </c>
      <c r="G50" s="2"/>
      <c r="H50" s="79" t="s">
        <v>37</v>
      </c>
      <c r="I50" s="80" t="s">
        <v>18</v>
      </c>
      <c r="J50" s="3" t="s">
        <v>19</v>
      </c>
      <c r="K50" s="3"/>
    </row>
    <row r="51" spans="1:11" ht="57.6" x14ac:dyDescent="0.3">
      <c r="A51" s="3" t="s">
        <v>134</v>
      </c>
      <c r="B51" s="3" t="str">
        <f>"035399171"</f>
        <v>035399171</v>
      </c>
      <c r="C51" s="3" t="s">
        <v>34</v>
      </c>
      <c r="D51" s="3" t="s">
        <v>142</v>
      </c>
      <c r="E51" s="3" t="s">
        <v>27</v>
      </c>
      <c r="F51" s="2">
        <v>44347</v>
      </c>
      <c r="G51" s="2"/>
      <c r="H51" s="81" t="s">
        <v>37</v>
      </c>
      <c r="I51" s="82" t="s">
        <v>18</v>
      </c>
      <c r="J51" s="3" t="s">
        <v>19</v>
      </c>
      <c r="K51" s="3"/>
    </row>
    <row r="52" spans="1:11" ht="57.6" x14ac:dyDescent="0.3">
      <c r="A52" s="3" t="s">
        <v>134</v>
      </c>
      <c r="B52" s="3" t="str">
        <f>"035399219"</f>
        <v>035399219</v>
      </c>
      <c r="C52" s="3" t="s">
        <v>34</v>
      </c>
      <c r="D52" s="3" t="s">
        <v>143</v>
      </c>
      <c r="E52" s="3" t="s">
        <v>27</v>
      </c>
      <c r="F52" s="2">
        <v>44439</v>
      </c>
      <c r="G52" s="2"/>
      <c r="H52" s="83" t="s">
        <v>37</v>
      </c>
      <c r="I52" s="84" t="s">
        <v>18</v>
      </c>
      <c r="J52" s="3" t="s">
        <v>19</v>
      </c>
      <c r="K52" s="3"/>
    </row>
    <row r="53" spans="1:11" ht="57.6" x14ac:dyDescent="0.3">
      <c r="A53" s="3" t="s">
        <v>144</v>
      </c>
      <c r="B53" s="3" t="str">
        <f>"035348022"</f>
        <v>035348022</v>
      </c>
      <c r="C53" s="3" t="s">
        <v>145</v>
      </c>
      <c r="D53" s="3" t="s">
        <v>146</v>
      </c>
      <c r="E53" s="3" t="s">
        <v>147</v>
      </c>
      <c r="F53" s="2">
        <v>43553</v>
      </c>
      <c r="G53" s="2"/>
      <c r="H53" s="85" t="s">
        <v>17</v>
      </c>
      <c r="I53" s="3" t="s">
        <v>41</v>
      </c>
      <c r="J53" s="3" t="s">
        <v>19</v>
      </c>
      <c r="K53" s="3"/>
    </row>
    <row r="54" spans="1:11" ht="115.2" x14ac:dyDescent="0.3">
      <c r="A54" s="3" t="s">
        <v>148</v>
      </c>
      <c r="B54" s="3" t="str">
        <f>"027980010"</f>
        <v>027980010</v>
      </c>
      <c r="C54" s="3" t="s">
        <v>149</v>
      </c>
      <c r="D54" s="3" t="s">
        <v>150</v>
      </c>
      <c r="E54" s="3" t="s">
        <v>151</v>
      </c>
      <c r="F54" s="2">
        <v>43649</v>
      </c>
      <c r="G54" s="2">
        <v>44196</v>
      </c>
      <c r="H54" s="86" t="s">
        <v>17</v>
      </c>
      <c r="I54" s="3" t="s">
        <v>152</v>
      </c>
      <c r="J54" s="3" t="s">
        <v>153</v>
      </c>
      <c r="K54" s="3" t="s">
        <v>154</v>
      </c>
    </row>
    <row r="55" spans="1:11" ht="57.6" x14ac:dyDescent="0.3">
      <c r="A55" s="3" t="s">
        <v>148</v>
      </c>
      <c r="B55" s="3" t="str">
        <f>"027980022"</f>
        <v>027980022</v>
      </c>
      <c r="C55" s="3" t="s">
        <v>149</v>
      </c>
      <c r="D55" s="3" t="s">
        <v>155</v>
      </c>
      <c r="E55" s="3" t="s">
        <v>151</v>
      </c>
      <c r="F55" s="2">
        <v>44096</v>
      </c>
      <c r="G55" s="2"/>
      <c r="H55" s="87" t="s">
        <v>17</v>
      </c>
      <c r="I55" s="88" t="s">
        <v>18</v>
      </c>
      <c r="J55" s="3" t="s">
        <v>156</v>
      </c>
      <c r="K55" s="3"/>
    </row>
    <row r="56" spans="1:11" ht="57.6" x14ac:dyDescent="0.3">
      <c r="A56" s="3" t="s">
        <v>148</v>
      </c>
      <c r="B56" s="3" t="str">
        <f>"027980034"</f>
        <v>027980034</v>
      </c>
      <c r="C56" s="3" t="s">
        <v>149</v>
      </c>
      <c r="D56" s="3" t="s">
        <v>157</v>
      </c>
      <c r="E56" s="3" t="s">
        <v>151</v>
      </c>
      <c r="F56" s="2">
        <v>44061</v>
      </c>
      <c r="G56" s="2"/>
      <c r="H56" s="89" t="s">
        <v>37</v>
      </c>
      <c r="I56" s="90" t="s">
        <v>18</v>
      </c>
      <c r="J56" s="3" t="s">
        <v>156</v>
      </c>
      <c r="K56" s="3"/>
    </row>
    <row r="57" spans="1:11" ht="43.2" x14ac:dyDescent="0.3">
      <c r="A57" s="3" t="s">
        <v>158</v>
      </c>
      <c r="B57" s="3" t="str">
        <f>"033245010"</f>
        <v>033245010</v>
      </c>
      <c r="C57" s="3" t="s">
        <v>159</v>
      </c>
      <c r="D57" s="3" t="s">
        <v>160</v>
      </c>
      <c r="E57" s="3" t="s">
        <v>161</v>
      </c>
      <c r="F57" s="2">
        <v>43862</v>
      </c>
      <c r="G57" s="2"/>
      <c r="H57" s="91" t="s">
        <v>17</v>
      </c>
      <c r="I57" s="3" t="s">
        <v>41</v>
      </c>
      <c r="J57" s="3" t="s">
        <v>19</v>
      </c>
      <c r="K57" s="3"/>
    </row>
    <row r="58" spans="1:11" ht="43.2" x14ac:dyDescent="0.3">
      <c r="A58" s="3" t="s">
        <v>162</v>
      </c>
      <c r="B58" s="3" t="str">
        <f>"044324010"</f>
        <v>044324010</v>
      </c>
      <c r="C58" s="3" t="s">
        <v>159</v>
      </c>
      <c r="D58" s="3" t="s">
        <v>163</v>
      </c>
      <c r="E58" s="3" t="s">
        <v>16</v>
      </c>
      <c r="F58" s="2">
        <v>44105</v>
      </c>
      <c r="G58" s="2">
        <v>44286</v>
      </c>
      <c r="H58" s="92" t="s">
        <v>37</v>
      </c>
      <c r="I58" s="3" t="s">
        <v>41</v>
      </c>
      <c r="J58" s="3" t="s">
        <v>19</v>
      </c>
      <c r="K58" s="3"/>
    </row>
    <row r="59" spans="1:11" ht="57.6" x14ac:dyDescent="0.3">
      <c r="A59" s="3" t="s">
        <v>164</v>
      </c>
      <c r="B59" s="3" t="str">
        <f>"044325013"</f>
        <v>044325013</v>
      </c>
      <c r="C59" s="3" t="s">
        <v>159</v>
      </c>
      <c r="D59" s="3" t="s">
        <v>165</v>
      </c>
      <c r="E59" s="3" t="s">
        <v>16</v>
      </c>
      <c r="F59" s="2">
        <v>43983</v>
      </c>
      <c r="G59" s="2">
        <v>44135</v>
      </c>
      <c r="H59" s="93" t="s">
        <v>37</v>
      </c>
      <c r="I59" s="3" t="s">
        <v>41</v>
      </c>
      <c r="J59" s="3" t="s">
        <v>156</v>
      </c>
      <c r="K59" s="3"/>
    </row>
    <row r="60" spans="1:11" ht="43.2" x14ac:dyDescent="0.3">
      <c r="A60" s="3" t="s">
        <v>166</v>
      </c>
      <c r="B60" s="3" t="str">
        <f>"026068039"</f>
        <v>026068039</v>
      </c>
      <c r="C60" s="3" t="s">
        <v>167</v>
      </c>
      <c r="D60" s="3" t="s">
        <v>168</v>
      </c>
      <c r="E60" s="3" t="s">
        <v>169</v>
      </c>
      <c r="F60" s="2">
        <v>41996</v>
      </c>
      <c r="G60" s="2"/>
      <c r="H60" s="94" t="s">
        <v>17</v>
      </c>
      <c r="I60" s="3" t="s">
        <v>41</v>
      </c>
      <c r="J60" s="3" t="s">
        <v>19</v>
      </c>
      <c r="K60" s="3"/>
    </row>
    <row r="61" spans="1:11" ht="57.6" x14ac:dyDescent="0.3">
      <c r="A61" s="3" t="s">
        <v>170</v>
      </c>
      <c r="B61" s="3" t="str">
        <f>"001738020"</f>
        <v>001738020</v>
      </c>
      <c r="C61" s="3" t="s">
        <v>171</v>
      </c>
      <c r="D61" s="3" t="s">
        <v>172</v>
      </c>
      <c r="E61" s="3" t="s">
        <v>173</v>
      </c>
      <c r="F61" s="2">
        <v>44237</v>
      </c>
      <c r="G61" s="2"/>
      <c r="H61" s="95" t="s">
        <v>37</v>
      </c>
      <c r="I61" s="96" t="s">
        <v>18</v>
      </c>
      <c r="J61" s="3" t="s">
        <v>19</v>
      </c>
      <c r="K61" s="3"/>
    </row>
    <row r="62" spans="1:11" ht="158.4" x14ac:dyDescent="0.3">
      <c r="A62" s="3" t="s">
        <v>174</v>
      </c>
      <c r="B62" s="3" t="str">
        <f>"045936061"</f>
        <v>045936061</v>
      </c>
      <c r="C62" s="3" t="s">
        <v>175</v>
      </c>
      <c r="D62" s="3" t="s">
        <v>176</v>
      </c>
      <c r="E62" s="3" t="s">
        <v>177</v>
      </c>
      <c r="F62" s="2">
        <v>44078</v>
      </c>
      <c r="G62" s="2">
        <v>44255</v>
      </c>
      <c r="H62" s="97" t="s">
        <v>37</v>
      </c>
      <c r="I62" s="3" t="s">
        <v>178</v>
      </c>
      <c r="J62" s="3" t="s">
        <v>156</v>
      </c>
      <c r="K62" s="3"/>
    </row>
    <row r="63" spans="1:11" ht="57.6" x14ac:dyDescent="0.3">
      <c r="A63" s="3" t="s">
        <v>179</v>
      </c>
      <c r="B63" s="3" t="str">
        <f>"035201401"</f>
        <v>035201401</v>
      </c>
      <c r="C63" s="3" t="s">
        <v>180</v>
      </c>
      <c r="D63" s="3" t="s">
        <v>181</v>
      </c>
      <c r="E63" s="3" t="s">
        <v>182</v>
      </c>
      <c r="F63" s="2">
        <v>42562</v>
      </c>
      <c r="G63" s="2"/>
      <c r="H63" s="98" t="s">
        <v>37</v>
      </c>
      <c r="I63" s="99" t="s">
        <v>18</v>
      </c>
      <c r="J63" s="3" t="s">
        <v>19</v>
      </c>
      <c r="K63" s="3"/>
    </row>
    <row r="64" spans="1:11" ht="57.6" x14ac:dyDescent="0.3">
      <c r="A64" s="3" t="s">
        <v>179</v>
      </c>
      <c r="B64" s="3" t="str">
        <f>"035201425"</f>
        <v>035201425</v>
      </c>
      <c r="C64" s="3" t="s">
        <v>180</v>
      </c>
      <c r="D64" s="3" t="s">
        <v>183</v>
      </c>
      <c r="E64" s="3" t="s">
        <v>182</v>
      </c>
      <c r="F64" s="2">
        <v>43934</v>
      </c>
      <c r="G64" s="2"/>
      <c r="H64" s="100" t="s">
        <v>17</v>
      </c>
      <c r="I64" s="101" t="s">
        <v>18</v>
      </c>
      <c r="J64" s="3" t="s">
        <v>19</v>
      </c>
      <c r="K64" s="3"/>
    </row>
    <row r="65" spans="1:11" ht="72" x14ac:dyDescent="0.3">
      <c r="A65" s="3" t="s">
        <v>184</v>
      </c>
      <c r="B65" s="3" t="str">
        <f>"042293023"</f>
        <v>042293023</v>
      </c>
      <c r="C65" s="3" t="s">
        <v>185</v>
      </c>
      <c r="D65" s="3" t="s">
        <v>186</v>
      </c>
      <c r="E65" s="3" t="s">
        <v>187</v>
      </c>
      <c r="F65" s="2">
        <v>43872</v>
      </c>
      <c r="G65" s="2"/>
      <c r="H65" s="102" t="s">
        <v>17</v>
      </c>
      <c r="I65" s="103" t="s">
        <v>18</v>
      </c>
      <c r="J65" s="3" t="s">
        <v>19</v>
      </c>
      <c r="K65" s="3"/>
    </row>
    <row r="66" spans="1:11" ht="43.2" x14ac:dyDescent="0.3">
      <c r="A66" s="3" t="s">
        <v>188</v>
      </c>
      <c r="B66" s="3" t="str">
        <f>"028478016"</f>
        <v>028478016</v>
      </c>
      <c r="C66" s="3" t="s">
        <v>189</v>
      </c>
      <c r="D66" s="3" t="s">
        <v>190</v>
      </c>
      <c r="E66" s="3" t="s">
        <v>191</v>
      </c>
      <c r="F66" s="2">
        <v>43493</v>
      </c>
      <c r="G66" s="2"/>
      <c r="H66" s="104" t="s">
        <v>37</v>
      </c>
      <c r="I66" s="105" t="s">
        <v>18</v>
      </c>
      <c r="J66" s="3" t="s">
        <v>19</v>
      </c>
      <c r="K66" s="3"/>
    </row>
    <row r="67" spans="1:11" ht="43.2" x14ac:dyDescent="0.3">
      <c r="A67" s="3" t="s">
        <v>192</v>
      </c>
      <c r="B67" s="3" t="str">
        <f>"042417016"</f>
        <v>042417016</v>
      </c>
      <c r="C67" s="3" t="s">
        <v>193</v>
      </c>
      <c r="D67" s="3" t="s">
        <v>194</v>
      </c>
      <c r="E67" s="3" t="s">
        <v>31</v>
      </c>
      <c r="F67" s="2">
        <v>43566</v>
      </c>
      <c r="G67" s="2"/>
      <c r="H67" s="106" t="s">
        <v>17</v>
      </c>
      <c r="I67" s="107" t="s">
        <v>32</v>
      </c>
      <c r="J67" s="3" t="s">
        <v>19</v>
      </c>
      <c r="K67" s="3"/>
    </row>
    <row r="68" spans="1:11" ht="57.6" x14ac:dyDescent="0.3">
      <c r="A68" s="3" t="s">
        <v>195</v>
      </c>
      <c r="B68" s="3" t="str">
        <f>"033181049"</f>
        <v>033181049</v>
      </c>
      <c r="C68" s="3" t="s">
        <v>196</v>
      </c>
      <c r="D68" s="3" t="s">
        <v>197</v>
      </c>
      <c r="E68" s="3" t="s">
        <v>198</v>
      </c>
      <c r="F68" s="2">
        <v>43784</v>
      </c>
      <c r="G68" s="2"/>
      <c r="H68" s="108" t="s">
        <v>37</v>
      </c>
      <c r="I68" s="109" t="s">
        <v>18</v>
      </c>
      <c r="J68" s="3" t="s">
        <v>156</v>
      </c>
      <c r="K68" s="3"/>
    </row>
    <row r="69" spans="1:11" ht="72" x14ac:dyDescent="0.3">
      <c r="A69" s="3" t="s">
        <v>199</v>
      </c>
      <c r="B69" s="3" t="str">
        <f>"026405338"</f>
        <v>026405338</v>
      </c>
      <c r="C69" s="3" t="s">
        <v>200</v>
      </c>
      <c r="D69" s="3" t="s">
        <v>201</v>
      </c>
      <c r="E69" s="3" t="s">
        <v>202</v>
      </c>
      <c r="F69" s="2">
        <v>44075</v>
      </c>
      <c r="G69" s="2"/>
      <c r="H69" s="110" t="s">
        <v>17</v>
      </c>
      <c r="I69" s="111" t="s">
        <v>18</v>
      </c>
      <c r="J69" s="3" t="s">
        <v>19</v>
      </c>
      <c r="K69" s="3"/>
    </row>
    <row r="70" spans="1:11" ht="72" x14ac:dyDescent="0.3">
      <c r="A70" s="3" t="s">
        <v>199</v>
      </c>
      <c r="B70" s="3" t="str">
        <f>"026405353"</f>
        <v>026405353</v>
      </c>
      <c r="C70" s="3" t="s">
        <v>200</v>
      </c>
      <c r="D70" s="3" t="s">
        <v>203</v>
      </c>
      <c r="E70" s="3" t="s">
        <v>202</v>
      </c>
      <c r="F70" s="2">
        <v>44075</v>
      </c>
      <c r="G70" s="2"/>
      <c r="H70" s="112" t="s">
        <v>17</v>
      </c>
      <c r="I70" s="113" t="s">
        <v>18</v>
      </c>
      <c r="J70" s="3" t="s">
        <v>19</v>
      </c>
      <c r="K70" s="3"/>
    </row>
    <row r="71" spans="1:11" ht="43.2" x14ac:dyDescent="0.3">
      <c r="A71" s="3" t="s">
        <v>204</v>
      </c>
      <c r="B71" s="3" t="str">
        <f>"023244015"</f>
        <v>023244015</v>
      </c>
      <c r="C71" s="3" t="s">
        <v>205</v>
      </c>
      <c r="D71" s="3" t="s">
        <v>206</v>
      </c>
      <c r="E71" s="3" t="s">
        <v>207</v>
      </c>
      <c r="F71" s="2">
        <v>43738</v>
      </c>
      <c r="G71" s="2"/>
      <c r="H71" s="114" t="s">
        <v>17</v>
      </c>
      <c r="I71" s="115" t="s">
        <v>18</v>
      </c>
      <c r="J71" s="3" t="s">
        <v>19</v>
      </c>
      <c r="K71" s="3"/>
    </row>
    <row r="72" spans="1:11" ht="43.2" x14ac:dyDescent="0.3">
      <c r="A72" s="3" t="s">
        <v>208</v>
      </c>
      <c r="B72" s="3" t="str">
        <f>"043578018"</f>
        <v>043578018</v>
      </c>
      <c r="C72" s="3" t="s">
        <v>209</v>
      </c>
      <c r="D72" s="3" t="s">
        <v>210</v>
      </c>
      <c r="E72" s="3" t="s">
        <v>211</v>
      </c>
      <c r="F72" s="2">
        <v>44316</v>
      </c>
      <c r="G72" s="2"/>
      <c r="H72" s="116" t="s">
        <v>17</v>
      </c>
      <c r="I72" s="117" t="s">
        <v>32</v>
      </c>
      <c r="J72" s="3" t="s">
        <v>19</v>
      </c>
      <c r="K72" s="3"/>
    </row>
    <row r="73" spans="1:11" ht="57.6" x14ac:dyDescent="0.3">
      <c r="A73" s="3" t="s">
        <v>212</v>
      </c>
      <c r="B73" s="3" t="str">
        <f>"037566092"</f>
        <v>037566092</v>
      </c>
      <c r="C73" s="3" t="s">
        <v>213</v>
      </c>
      <c r="D73" s="3" t="s">
        <v>214</v>
      </c>
      <c r="E73" s="3" t="s">
        <v>177</v>
      </c>
      <c r="F73" s="2">
        <v>44008</v>
      </c>
      <c r="G73" s="2">
        <v>44286</v>
      </c>
      <c r="H73" s="118" t="s">
        <v>17</v>
      </c>
      <c r="I73" s="3" t="s">
        <v>215</v>
      </c>
      <c r="J73" s="3" t="s">
        <v>19</v>
      </c>
      <c r="K73" s="3"/>
    </row>
    <row r="74" spans="1:11" ht="43.2" x14ac:dyDescent="0.3">
      <c r="A74" s="3" t="s">
        <v>216</v>
      </c>
      <c r="B74" s="3" t="str">
        <f>"036504076"</f>
        <v>036504076</v>
      </c>
      <c r="C74" s="3" t="s">
        <v>213</v>
      </c>
      <c r="D74" s="3" t="s">
        <v>217</v>
      </c>
      <c r="E74" s="3" t="s">
        <v>218</v>
      </c>
      <c r="F74" s="2">
        <v>43704</v>
      </c>
      <c r="G74" s="2"/>
      <c r="H74" s="119" t="s">
        <v>17</v>
      </c>
      <c r="I74" s="120" t="s">
        <v>32</v>
      </c>
      <c r="J74" s="3" t="s">
        <v>19</v>
      </c>
      <c r="K74" s="3"/>
    </row>
    <row r="75" spans="1:11" ht="43.2" x14ac:dyDescent="0.3">
      <c r="A75" s="3" t="s">
        <v>219</v>
      </c>
      <c r="B75" s="3" t="str">
        <f>"040106015"</f>
        <v>040106015</v>
      </c>
      <c r="C75" s="3" t="s">
        <v>220</v>
      </c>
      <c r="D75" s="3" t="s">
        <v>221</v>
      </c>
      <c r="E75" s="3" t="s">
        <v>31</v>
      </c>
      <c r="F75" s="2">
        <v>43922</v>
      </c>
      <c r="G75" s="2">
        <v>44043</v>
      </c>
      <c r="H75" s="121" t="s">
        <v>17</v>
      </c>
      <c r="I75" s="122" t="s">
        <v>32</v>
      </c>
      <c r="J75" s="3" t="s">
        <v>19</v>
      </c>
      <c r="K75" s="3"/>
    </row>
    <row r="76" spans="1:11" ht="43.2" x14ac:dyDescent="0.3">
      <c r="A76" s="3" t="s">
        <v>222</v>
      </c>
      <c r="B76" s="3" t="str">
        <f>"044440028"</f>
        <v>044440028</v>
      </c>
      <c r="C76" s="3" t="s">
        <v>223</v>
      </c>
      <c r="D76" s="3" t="s">
        <v>224</v>
      </c>
      <c r="E76" s="3" t="s">
        <v>107</v>
      </c>
      <c r="F76" s="2">
        <v>43891</v>
      </c>
      <c r="G76" s="2"/>
      <c r="H76" s="123" t="s">
        <v>17</v>
      </c>
      <c r="I76" s="124" t="s">
        <v>18</v>
      </c>
      <c r="J76" s="3" t="s">
        <v>19</v>
      </c>
      <c r="K76" s="3"/>
    </row>
    <row r="77" spans="1:11" ht="72" x14ac:dyDescent="0.3">
      <c r="A77" s="3" t="s">
        <v>225</v>
      </c>
      <c r="B77" s="3" t="str">
        <f>"044405037"</f>
        <v>044405037</v>
      </c>
      <c r="C77" s="3" t="s">
        <v>226</v>
      </c>
      <c r="D77" s="3" t="s">
        <v>227</v>
      </c>
      <c r="E77" s="3" t="s">
        <v>27</v>
      </c>
      <c r="F77" s="2">
        <v>43538</v>
      </c>
      <c r="G77" s="2">
        <v>44255</v>
      </c>
      <c r="H77" s="125" t="s">
        <v>17</v>
      </c>
      <c r="I77" s="3" t="s">
        <v>41</v>
      </c>
      <c r="J77" s="3" t="s">
        <v>19</v>
      </c>
      <c r="K77" s="3" t="s">
        <v>228</v>
      </c>
    </row>
    <row r="78" spans="1:11" ht="43.2" x14ac:dyDescent="0.3">
      <c r="A78" s="3" t="s">
        <v>229</v>
      </c>
      <c r="B78" s="3" t="str">
        <f>"037085089"</f>
        <v>037085089</v>
      </c>
      <c r="C78" s="3" t="s">
        <v>230</v>
      </c>
      <c r="D78" s="3" t="s">
        <v>231</v>
      </c>
      <c r="E78" s="3" t="s">
        <v>103</v>
      </c>
      <c r="F78" s="2">
        <v>43626</v>
      </c>
      <c r="G78" s="2"/>
      <c r="H78" s="126" t="s">
        <v>17</v>
      </c>
      <c r="I78" s="127" t="s">
        <v>18</v>
      </c>
      <c r="J78" s="3" t="s">
        <v>19</v>
      </c>
      <c r="K78" s="3"/>
    </row>
    <row r="79" spans="1:11" ht="43.2" x14ac:dyDescent="0.3">
      <c r="A79" s="3" t="s">
        <v>232</v>
      </c>
      <c r="B79" s="3" t="str">
        <f>"038317020"</f>
        <v>038317020</v>
      </c>
      <c r="C79" s="3" t="s">
        <v>230</v>
      </c>
      <c r="D79" s="3" t="s">
        <v>233</v>
      </c>
      <c r="E79" s="3" t="s">
        <v>122</v>
      </c>
      <c r="F79" s="2">
        <v>41592</v>
      </c>
      <c r="G79" s="2"/>
      <c r="H79" s="128" t="s">
        <v>17</v>
      </c>
      <c r="I79" s="129" t="s">
        <v>32</v>
      </c>
      <c r="J79" s="3" t="s">
        <v>19</v>
      </c>
      <c r="K79" s="3"/>
    </row>
    <row r="80" spans="1:11" ht="43.2" x14ac:dyDescent="0.3">
      <c r="A80" s="3" t="s">
        <v>234</v>
      </c>
      <c r="B80" s="3" t="str">
        <f>"029051036"</f>
        <v>029051036</v>
      </c>
      <c r="C80" s="3" t="s">
        <v>230</v>
      </c>
      <c r="D80" s="3" t="s">
        <v>235</v>
      </c>
      <c r="E80" s="3" t="s">
        <v>173</v>
      </c>
      <c r="F80" s="2">
        <v>43131</v>
      </c>
      <c r="G80" s="2"/>
      <c r="H80" s="130" t="s">
        <v>17</v>
      </c>
      <c r="I80" s="131" t="s">
        <v>32</v>
      </c>
      <c r="J80" s="3" t="s">
        <v>19</v>
      </c>
      <c r="K80" s="3"/>
    </row>
    <row r="81" spans="1:11" ht="28.8" x14ac:dyDescent="0.3">
      <c r="A81" s="3" t="s">
        <v>236</v>
      </c>
      <c r="B81" s="3" t="str">
        <f>"026363010"</f>
        <v>026363010</v>
      </c>
      <c r="C81" s="3" t="s">
        <v>237</v>
      </c>
      <c r="D81" s="3" t="s">
        <v>238</v>
      </c>
      <c r="E81" s="3" t="s">
        <v>239</v>
      </c>
      <c r="F81" s="2">
        <v>43727</v>
      </c>
      <c r="G81" s="2">
        <v>44561</v>
      </c>
      <c r="H81" s="132" t="s">
        <v>37</v>
      </c>
      <c r="I81" s="3" t="s">
        <v>41</v>
      </c>
      <c r="J81" s="3" t="s">
        <v>240</v>
      </c>
      <c r="K81" s="3"/>
    </row>
    <row r="82" spans="1:11" ht="43.2" x14ac:dyDescent="0.3">
      <c r="A82" s="3" t="s">
        <v>241</v>
      </c>
      <c r="B82" s="3" t="str">
        <f>"024605065"</f>
        <v>024605065</v>
      </c>
      <c r="C82" s="3" t="s">
        <v>242</v>
      </c>
      <c r="D82" s="3" t="s">
        <v>243</v>
      </c>
      <c r="E82" s="3" t="s">
        <v>191</v>
      </c>
      <c r="F82" s="2">
        <v>43390</v>
      </c>
      <c r="G82" s="2"/>
      <c r="H82" s="133" t="s">
        <v>37</v>
      </c>
      <c r="I82" s="134" t="s">
        <v>18</v>
      </c>
      <c r="J82" s="3" t="s">
        <v>19</v>
      </c>
      <c r="K82" s="3"/>
    </row>
    <row r="83" spans="1:11" ht="43.2" x14ac:dyDescent="0.3">
      <c r="A83" s="3" t="s">
        <v>244</v>
      </c>
      <c r="B83" s="3" t="str">
        <f>"038661029"</f>
        <v>038661029</v>
      </c>
      <c r="C83" s="3" t="s">
        <v>245</v>
      </c>
      <c r="D83" s="3" t="s">
        <v>246</v>
      </c>
      <c r="E83" s="3" t="s">
        <v>64</v>
      </c>
      <c r="F83" s="2">
        <v>44013</v>
      </c>
      <c r="G83" s="2"/>
      <c r="H83" s="135" t="s">
        <v>17</v>
      </c>
      <c r="I83" s="3" t="s">
        <v>41</v>
      </c>
      <c r="J83" s="3" t="s">
        <v>19</v>
      </c>
      <c r="K83" s="3"/>
    </row>
    <row r="84" spans="1:11" ht="57.6" x14ac:dyDescent="0.3">
      <c r="A84" s="3" t="s">
        <v>247</v>
      </c>
      <c r="B84" s="3" t="str">
        <f>"043588019"</f>
        <v>043588019</v>
      </c>
      <c r="C84" s="3" t="s">
        <v>248</v>
      </c>
      <c r="D84" s="3" t="s">
        <v>249</v>
      </c>
      <c r="E84" s="3" t="s">
        <v>56</v>
      </c>
      <c r="F84" s="2">
        <v>44151</v>
      </c>
      <c r="G84" s="2"/>
      <c r="H84" s="136" t="s">
        <v>17</v>
      </c>
      <c r="I84" s="137" t="s">
        <v>18</v>
      </c>
      <c r="J84" s="3" t="s">
        <v>19</v>
      </c>
      <c r="K84" s="3"/>
    </row>
    <row r="85" spans="1:11" ht="57.6" x14ac:dyDescent="0.3">
      <c r="A85" s="3" t="s">
        <v>247</v>
      </c>
      <c r="B85" s="3" t="str">
        <f>"043588084"</f>
        <v>043588084</v>
      </c>
      <c r="C85" s="3" t="s">
        <v>248</v>
      </c>
      <c r="D85" s="3" t="s">
        <v>250</v>
      </c>
      <c r="E85" s="3" t="s">
        <v>56</v>
      </c>
      <c r="F85" s="2">
        <v>44151</v>
      </c>
      <c r="G85" s="2"/>
      <c r="H85" s="138" t="s">
        <v>17</v>
      </c>
      <c r="I85" s="139" t="s">
        <v>18</v>
      </c>
      <c r="J85" s="3" t="s">
        <v>19</v>
      </c>
      <c r="K85" s="3"/>
    </row>
    <row r="86" spans="1:11" ht="57.6" x14ac:dyDescent="0.3">
      <c r="A86" s="3" t="s">
        <v>247</v>
      </c>
      <c r="B86" s="3" t="str">
        <f>"043588159"</f>
        <v>043588159</v>
      </c>
      <c r="C86" s="3" t="s">
        <v>248</v>
      </c>
      <c r="D86" s="3" t="s">
        <v>251</v>
      </c>
      <c r="E86" s="3" t="s">
        <v>56</v>
      </c>
      <c r="F86" s="2">
        <v>44151</v>
      </c>
      <c r="G86" s="2"/>
      <c r="H86" s="140" t="s">
        <v>17</v>
      </c>
      <c r="I86" s="141" t="s">
        <v>18</v>
      </c>
      <c r="J86" s="3" t="s">
        <v>19</v>
      </c>
      <c r="K86" s="3"/>
    </row>
    <row r="87" spans="1:11" ht="72" x14ac:dyDescent="0.3">
      <c r="A87" s="3" t="s">
        <v>252</v>
      </c>
      <c r="B87" s="3" t="str">
        <f>"021250028"</f>
        <v>021250028</v>
      </c>
      <c r="C87" s="3" t="s">
        <v>253</v>
      </c>
      <c r="D87" s="3" t="s">
        <v>254</v>
      </c>
      <c r="E87" s="3" t="s">
        <v>255</v>
      </c>
      <c r="F87" s="2">
        <v>44013</v>
      </c>
      <c r="G87" s="2">
        <v>44227</v>
      </c>
      <c r="H87" s="142" t="s">
        <v>17</v>
      </c>
      <c r="I87" s="3" t="s">
        <v>41</v>
      </c>
      <c r="J87" s="3" t="s">
        <v>156</v>
      </c>
      <c r="K87" s="3"/>
    </row>
    <row r="88" spans="1:11" ht="43.2" x14ac:dyDescent="0.3">
      <c r="A88" s="3" t="s">
        <v>256</v>
      </c>
      <c r="B88" s="3" t="str">
        <f>"038933014"</f>
        <v>038933014</v>
      </c>
      <c r="C88" s="3" t="s">
        <v>257</v>
      </c>
      <c r="D88" s="3" t="s">
        <v>258</v>
      </c>
      <c r="E88" s="3" t="s">
        <v>259</v>
      </c>
      <c r="F88" s="2">
        <v>41563</v>
      </c>
      <c r="G88" s="2"/>
      <c r="H88" s="143" t="s">
        <v>17</v>
      </c>
      <c r="I88" s="144" t="s">
        <v>18</v>
      </c>
      <c r="J88" s="3" t="s">
        <v>19</v>
      </c>
      <c r="K88" s="3"/>
    </row>
    <row r="89" spans="1:11" ht="43.2" x14ac:dyDescent="0.3">
      <c r="A89" s="3" t="s">
        <v>260</v>
      </c>
      <c r="B89" s="3" t="str">
        <f>"044508012"</f>
        <v>044508012</v>
      </c>
      <c r="C89" s="3" t="s">
        <v>261</v>
      </c>
      <c r="D89" s="3" t="s">
        <v>262</v>
      </c>
      <c r="E89" s="3" t="s">
        <v>263</v>
      </c>
      <c r="F89" s="2">
        <v>44092</v>
      </c>
      <c r="G89" s="2"/>
      <c r="H89" s="145" t="s">
        <v>17</v>
      </c>
      <c r="I89" s="146" t="s">
        <v>32</v>
      </c>
      <c r="J89" s="3" t="s">
        <v>19</v>
      </c>
      <c r="K89" s="3"/>
    </row>
    <row r="90" spans="1:11" ht="43.2" x14ac:dyDescent="0.3">
      <c r="A90" s="3" t="s">
        <v>260</v>
      </c>
      <c r="B90" s="3" t="str">
        <f>"044508024"</f>
        <v>044508024</v>
      </c>
      <c r="C90" s="3" t="s">
        <v>261</v>
      </c>
      <c r="D90" s="3" t="s">
        <v>264</v>
      </c>
      <c r="E90" s="3" t="s">
        <v>263</v>
      </c>
      <c r="F90" s="2">
        <v>44092</v>
      </c>
      <c r="G90" s="2"/>
      <c r="H90" s="147" t="s">
        <v>17</v>
      </c>
      <c r="I90" s="148" t="s">
        <v>32</v>
      </c>
      <c r="J90" s="3" t="s">
        <v>19</v>
      </c>
      <c r="K90" s="3"/>
    </row>
    <row r="91" spans="1:11" ht="43.2" x14ac:dyDescent="0.3">
      <c r="A91" s="3" t="s">
        <v>265</v>
      </c>
      <c r="B91" s="3" t="str">
        <f>"039060393"</f>
        <v>039060393</v>
      </c>
      <c r="C91" s="3" t="s">
        <v>261</v>
      </c>
      <c r="D91" s="3" t="s">
        <v>266</v>
      </c>
      <c r="E91" s="3" t="s">
        <v>107</v>
      </c>
      <c r="F91" s="2">
        <v>41669</v>
      </c>
      <c r="G91" s="2"/>
      <c r="H91" s="149" t="s">
        <v>17</v>
      </c>
      <c r="I91" s="150" t="s">
        <v>18</v>
      </c>
      <c r="J91" s="3" t="s">
        <v>19</v>
      </c>
      <c r="K91" s="3"/>
    </row>
    <row r="92" spans="1:11" ht="43.2" x14ac:dyDescent="0.3">
      <c r="A92" s="3" t="s">
        <v>267</v>
      </c>
      <c r="B92" s="3" t="str">
        <f>"025728027"</f>
        <v>025728027</v>
      </c>
      <c r="C92" s="3" t="s">
        <v>268</v>
      </c>
      <c r="D92" s="3" t="s">
        <v>269</v>
      </c>
      <c r="E92" s="3" t="s">
        <v>270</v>
      </c>
      <c r="F92" s="2">
        <v>44049</v>
      </c>
      <c r="G92" s="2">
        <v>44196</v>
      </c>
      <c r="H92" s="151" t="s">
        <v>37</v>
      </c>
      <c r="I92" s="3" t="s">
        <v>41</v>
      </c>
      <c r="J92" s="3" t="s">
        <v>19</v>
      </c>
      <c r="K92" s="3"/>
    </row>
    <row r="93" spans="1:11" ht="43.2" x14ac:dyDescent="0.3">
      <c r="A93" s="3" t="s">
        <v>271</v>
      </c>
      <c r="B93" s="3" t="str">
        <f>"043075023"</f>
        <v>043075023</v>
      </c>
      <c r="C93" s="3" t="s">
        <v>272</v>
      </c>
      <c r="D93" s="3" t="s">
        <v>273</v>
      </c>
      <c r="E93" s="3" t="s">
        <v>83</v>
      </c>
      <c r="F93" s="2">
        <v>43770</v>
      </c>
      <c r="G93" s="2"/>
      <c r="H93" s="152" t="s">
        <v>17</v>
      </c>
      <c r="I93" s="153" t="s">
        <v>18</v>
      </c>
      <c r="J93" s="3" t="s">
        <v>19</v>
      </c>
      <c r="K93" s="3"/>
    </row>
    <row r="94" spans="1:11" ht="43.2" x14ac:dyDescent="0.3">
      <c r="A94" s="3" t="s">
        <v>271</v>
      </c>
      <c r="B94" s="3" t="str">
        <f>"043075047"</f>
        <v>043075047</v>
      </c>
      <c r="C94" s="3" t="s">
        <v>272</v>
      </c>
      <c r="D94" s="3" t="s">
        <v>274</v>
      </c>
      <c r="E94" s="3" t="s">
        <v>83</v>
      </c>
      <c r="F94" s="2">
        <v>43770</v>
      </c>
      <c r="G94" s="2"/>
      <c r="H94" s="154" t="s">
        <v>17</v>
      </c>
      <c r="I94" s="155" t="s">
        <v>18</v>
      </c>
      <c r="J94" s="3" t="s">
        <v>19</v>
      </c>
      <c r="K94" s="3"/>
    </row>
    <row r="95" spans="1:11" ht="43.2" x14ac:dyDescent="0.3">
      <c r="A95" s="3" t="s">
        <v>275</v>
      </c>
      <c r="B95" s="3" t="str">
        <f>"041813039"</f>
        <v>041813039</v>
      </c>
      <c r="C95" s="3" t="s">
        <v>272</v>
      </c>
      <c r="D95" s="3" t="s">
        <v>276</v>
      </c>
      <c r="E95" s="3" t="s">
        <v>56</v>
      </c>
      <c r="F95" s="2">
        <v>44132</v>
      </c>
      <c r="G95" s="2">
        <v>44196</v>
      </c>
      <c r="H95" s="156" t="s">
        <v>17</v>
      </c>
      <c r="I95" s="3" t="s">
        <v>41</v>
      </c>
      <c r="J95" s="3" t="s">
        <v>19</v>
      </c>
      <c r="K95" s="3"/>
    </row>
    <row r="96" spans="1:11" ht="43.2" x14ac:dyDescent="0.3">
      <c r="A96" s="3" t="s">
        <v>277</v>
      </c>
      <c r="B96" s="3" t="str">
        <f>"041862018"</f>
        <v>041862018</v>
      </c>
      <c r="C96" s="3" t="s">
        <v>272</v>
      </c>
      <c r="D96" s="3" t="s">
        <v>278</v>
      </c>
      <c r="E96" s="3" t="s">
        <v>107</v>
      </c>
      <c r="F96" s="2">
        <v>44166</v>
      </c>
      <c r="G96" s="2"/>
      <c r="H96" s="157" t="s">
        <v>17</v>
      </c>
      <c r="I96" s="158" t="s">
        <v>18</v>
      </c>
      <c r="J96" s="3" t="s">
        <v>19</v>
      </c>
      <c r="K96" s="3"/>
    </row>
    <row r="97" spans="1:11" ht="43.2" x14ac:dyDescent="0.3">
      <c r="A97" s="3" t="s">
        <v>277</v>
      </c>
      <c r="B97" s="3" t="str">
        <f>"041862032"</f>
        <v>041862032</v>
      </c>
      <c r="C97" s="3" t="s">
        <v>272</v>
      </c>
      <c r="D97" s="3" t="s">
        <v>279</v>
      </c>
      <c r="E97" s="3" t="s">
        <v>107</v>
      </c>
      <c r="F97" s="2">
        <v>43891</v>
      </c>
      <c r="G97" s="2"/>
      <c r="H97" s="159" t="s">
        <v>17</v>
      </c>
      <c r="I97" s="160" t="s">
        <v>18</v>
      </c>
      <c r="J97" s="3" t="s">
        <v>19</v>
      </c>
      <c r="K97" s="3"/>
    </row>
    <row r="98" spans="1:11" ht="86.4" x14ac:dyDescent="0.3">
      <c r="A98" s="3" t="s">
        <v>280</v>
      </c>
      <c r="B98" s="3" t="str">
        <f>"029250077"</f>
        <v>029250077</v>
      </c>
      <c r="C98" s="3" t="s">
        <v>281</v>
      </c>
      <c r="D98" s="3" t="s">
        <v>282</v>
      </c>
      <c r="E98" s="3" t="s">
        <v>283</v>
      </c>
      <c r="F98" s="2">
        <v>43983</v>
      </c>
      <c r="G98" s="2">
        <v>44196</v>
      </c>
      <c r="H98" s="161" t="s">
        <v>17</v>
      </c>
      <c r="I98" s="3" t="s">
        <v>41</v>
      </c>
      <c r="J98" s="3" t="s">
        <v>19</v>
      </c>
      <c r="K98" s="3"/>
    </row>
    <row r="99" spans="1:11" ht="86.4" x14ac:dyDescent="0.3">
      <c r="A99" s="3" t="s">
        <v>280</v>
      </c>
      <c r="B99" s="3" t="str">
        <f>"029250089"</f>
        <v>029250089</v>
      </c>
      <c r="C99" s="3" t="s">
        <v>281</v>
      </c>
      <c r="D99" s="3" t="s">
        <v>284</v>
      </c>
      <c r="E99" s="3" t="s">
        <v>283</v>
      </c>
      <c r="F99" s="2">
        <v>43983</v>
      </c>
      <c r="G99" s="2">
        <v>44196</v>
      </c>
      <c r="H99" s="162" t="s">
        <v>37</v>
      </c>
      <c r="I99" s="3" t="s">
        <v>41</v>
      </c>
      <c r="J99" s="3" t="s">
        <v>156</v>
      </c>
      <c r="K99" s="3"/>
    </row>
    <row r="100" spans="1:11" ht="43.2" x14ac:dyDescent="0.3">
      <c r="A100" s="3" t="s">
        <v>285</v>
      </c>
      <c r="B100" s="3" t="str">
        <f>"028644084"</f>
        <v>028644084</v>
      </c>
      <c r="C100" s="3" t="s">
        <v>286</v>
      </c>
      <c r="D100" s="3" t="s">
        <v>287</v>
      </c>
      <c r="E100" s="3" t="s">
        <v>288</v>
      </c>
      <c r="F100" s="2">
        <v>43595</v>
      </c>
      <c r="G100" s="2"/>
      <c r="H100" s="163" t="s">
        <v>17</v>
      </c>
      <c r="I100" s="164" t="s">
        <v>18</v>
      </c>
      <c r="J100" s="3" t="s">
        <v>19</v>
      </c>
      <c r="K100" s="3"/>
    </row>
    <row r="101" spans="1:11" ht="43.2" x14ac:dyDescent="0.3">
      <c r="A101" s="3" t="s">
        <v>289</v>
      </c>
      <c r="B101" s="3" t="str">
        <f>"041884014"</f>
        <v>041884014</v>
      </c>
      <c r="C101" s="3" t="s">
        <v>286</v>
      </c>
      <c r="D101" s="3" t="s">
        <v>290</v>
      </c>
      <c r="E101" s="3" t="s">
        <v>83</v>
      </c>
      <c r="F101" s="2">
        <v>44135</v>
      </c>
      <c r="G101" s="2"/>
      <c r="H101" s="165" t="s">
        <v>17</v>
      </c>
      <c r="I101" s="3" t="s">
        <v>41</v>
      </c>
      <c r="J101" s="3" t="s">
        <v>19</v>
      </c>
      <c r="K101" s="3"/>
    </row>
    <row r="102" spans="1:11" ht="43.2" x14ac:dyDescent="0.3">
      <c r="A102" s="3" t="s">
        <v>289</v>
      </c>
      <c r="B102" s="3" t="str">
        <f>"041884038"</f>
        <v>041884038</v>
      </c>
      <c r="C102" s="3" t="s">
        <v>286</v>
      </c>
      <c r="D102" s="3" t="s">
        <v>291</v>
      </c>
      <c r="E102" s="3" t="s">
        <v>83</v>
      </c>
      <c r="F102" s="2">
        <v>43970</v>
      </c>
      <c r="G102" s="2"/>
      <c r="H102" s="166" t="s">
        <v>17</v>
      </c>
      <c r="I102" s="3" t="s">
        <v>41</v>
      </c>
      <c r="J102" s="3" t="s">
        <v>19</v>
      </c>
      <c r="K102" s="3"/>
    </row>
    <row r="103" spans="1:11" ht="43.2" x14ac:dyDescent="0.3">
      <c r="A103" s="3" t="s">
        <v>289</v>
      </c>
      <c r="B103" s="3" t="str">
        <f>"041884053"</f>
        <v>041884053</v>
      </c>
      <c r="C103" s="3" t="s">
        <v>286</v>
      </c>
      <c r="D103" s="3" t="s">
        <v>292</v>
      </c>
      <c r="E103" s="3" t="s">
        <v>83</v>
      </c>
      <c r="F103" s="2">
        <v>44135</v>
      </c>
      <c r="G103" s="2"/>
      <c r="H103" s="167" t="s">
        <v>17</v>
      </c>
      <c r="I103" s="3" t="s">
        <v>41</v>
      </c>
      <c r="J103" s="3" t="s">
        <v>19</v>
      </c>
      <c r="K103" s="3"/>
    </row>
    <row r="104" spans="1:11" ht="43.2" x14ac:dyDescent="0.3">
      <c r="A104" s="3" t="s">
        <v>293</v>
      </c>
      <c r="B104" s="3" t="str">
        <f>"034979031"</f>
        <v>034979031</v>
      </c>
      <c r="C104" s="3" t="s">
        <v>286</v>
      </c>
      <c r="D104" s="3" t="s">
        <v>294</v>
      </c>
      <c r="E104" s="3" t="s">
        <v>64</v>
      </c>
      <c r="F104" s="2">
        <v>41590</v>
      </c>
      <c r="G104" s="2"/>
      <c r="H104" s="168" t="s">
        <v>17</v>
      </c>
      <c r="I104" s="169" t="s">
        <v>18</v>
      </c>
      <c r="J104" s="3" t="s">
        <v>19</v>
      </c>
      <c r="K104" s="3"/>
    </row>
    <row r="105" spans="1:11" ht="43.2" x14ac:dyDescent="0.3">
      <c r="A105" s="3" t="s">
        <v>293</v>
      </c>
      <c r="B105" s="3" t="str">
        <f>"034979043"</f>
        <v>034979043</v>
      </c>
      <c r="C105" s="3" t="s">
        <v>286</v>
      </c>
      <c r="D105" s="3" t="s">
        <v>295</v>
      </c>
      <c r="E105" s="3" t="s">
        <v>64</v>
      </c>
      <c r="F105" s="2">
        <v>44075</v>
      </c>
      <c r="G105" s="2"/>
      <c r="H105" s="170" t="s">
        <v>17</v>
      </c>
      <c r="I105" s="3" t="s">
        <v>41</v>
      </c>
      <c r="J105" s="3" t="s">
        <v>19</v>
      </c>
      <c r="K105" s="3"/>
    </row>
    <row r="106" spans="1:11" ht="43.2" x14ac:dyDescent="0.3">
      <c r="A106" s="3" t="s">
        <v>296</v>
      </c>
      <c r="B106" s="3" t="str">
        <f>"038002022"</f>
        <v>038002022</v>
      </c>
      <c r="C106" s="3" t="s">
        <v>297</v>
      </c>
      <c r="D106" s="3" t="s">
        <v>298</v>
      </c>
      <c r="E106" s="3" t="s">
        <v>299</v>
      </c>
      <c r="F106" s="2">
        <v>43138</v>
      </c>
      <c r="G106" s="2"/>
      <c r="H106" s="171" t="s">
        <v>37</v>
      </c>
      <c r="I106" s="172" t="s">
        <v>18</v>
      </c>
      <c r="J106" s="3" t="s">
        <v>19</v>
      </c>
      <c r="K106" s="3"/>
    </row>
    <row r="107" spans="1:11" ht="57.6" x14ac:dyDescent="0.3">
      <c r="A107" s="3" t="s">
        <v>300</v>
      </c>
      <c r="B107" s="3" t="str">
        <f>"025271026"</f>
        <v>025271026</v>
      </c>
      <c r="C107" s="3" t="s">
        <v>301</v>
      </c>
      <c r="D107" s="3" t="s">
        <v>302</v>
      </c>
      <c r="E107" s="3" t="s">
        <v>303</v>
      </c>
      <c r="F107" s="2">
        <v>44197</v>
      </c>
      <c r="G107" s="2"/>
      <c r="H107" s="173" t="s">
        <v>37</v>
      </c>
      <c r="I107" s="174" t="s">
        <v>18</v>
      </c>
      <c r="J107" s="3" t="s">
        <v>19</v>
      </c>
      <c r="K107" s="3"/>
    </row>
    <row r="108" spans="1:11" ht="43.2" x14ac:dyDescent="0.3">
      <c r="A108" s="3" t="s">
        <v>304</v>
      </c>
      <c r="B108" s="3" t="str">
        <f>"028061048"</f>
        <v>028061048</v>
      </c>
      <c r="C108" s="3" t="s">
        <v>305</v>
      </c>
      <c r="D108" s="3" t="s">
        <v>306</v>
      </c>
      <c r="E108" s="3" t="s">
        <v>307</v>
      </c>
      <c r="F108" s="2">
        <v>43284</v>
      </c>
      <c r="G108" s="2">
        <v>44408</v>
      </c>
      <c r="H108" s="175" t="s">
        <v>17</v>
      </c>
      <c r="I108" s="3" t="s">
        <v>41</v>
      </c>
      <c r="J108" s="3" t="s">
        <v>19</v>
      </c>
      <c r="K108" s="3"/>
    </row>
    <row r="109" spans="1:11" ht="43.2" x14ac:dyDescent="0.3">
      <c r="A109" s="3" t="s">
        <v>304</v>
      </c>
      <c r="B109" s="3" t="str">
        <f>"028061024"</f>
        <v>028061024</v>
      </c>
      <c r="C109" s="3" t="s">
        <v>305</v>
      </c>
      <c r="D109" s="3" t="s">
        <v>308</v>
      </c>
      <c r="E109" s="3" t="s">
        <v>307</v>
      </c>
      <c r="F109" s="2">
        <v>43433</v>
      </c>
      <c r="G109" s="2">
        <v>44408</v>
      </c>
      <c r="H109" s="176" t="s">
        <v>17</v>
      </c>
      <c r="I109" s="3" t="s">
        <v>41</v>
      </c>
      <c r="J109" s="3" t="s">
        <v>19</v>
      </c>
      <c r="K109" s="3"/>
    </row>
    <row r="110" spans="1:11" ht="43.2" x14ac:dyDescent="0.3">
      <c r="A110" s="3" t="s">
        <v>309</v>
      </c>
      <c r="B110" s="3" t="str">
        <f>"033586025"</f>
        <v>033586025</v>
      </c>
      <c r="C110" s="3" t="s">
        <v>310</v>
      </c>
      <c r="D110" s="3" t="s">
        <v>311</v>
      </c>
      <c r="E110" s="3" t="s">
        <v>27</v>
      </c>
      <c r="F110" s="2">
        <v>43601</v>
      </c>
      <c r="G110" s="2">
        <v>44286</v>
      </c>
      <c r="H110" s="177" t="s">
        <v>17</v>
      </c>
      <c r="I110" s="3" t="s">
        <v>41</v>
      </c>
      <c r="J110" s="3" t="s">
        <v>19</v>
      </c>
      <c r="K110" s="3"/>
    </row>
    <row r="111" spans="1:11" ht="43.2" x14ac:dyDescent="0.3">
      <c r="A111" s="3" t="s">
        <v>309</v>
      </c>
      <c r="B111" s="3" t="str">
        <f>"033586037"</f>
        <v>033586037</v>
      </c>
      <c r="C111" s="3" t="s">
        <v>310</v>
      </c>
      <c r="D111" s="3" t="s">
        <v>312</v>
      </c>
      <c r="E111" s="3" t="s">
        <v>27</v>
      </c>
      <c r="F111" s="2">
        <v>43678</v>
      </c>
      <c r="G111" s="2">
        <v>44286</v>
      </c>
      <c r="H111" s="178" t="s">
        <v>17</v>
      </c>
      <c r="I111" s="3" t="s">
        <v>41</v>
      </c>
      <c r="J111" s="3" t="s">
        <v>19</v>
      </c>
      <c r="K111" s="3"/>
    </row>
    <row r="112" spans="1:11" ht="72" x14ac:dyDescent="0.3">
      <c r="A112" s="3" t="s">
        <v>313</v>
      </c>
      <c r="B112" s="3" t="str">
        <f>"027484031"</f>
        <v>027484031</v>
      </c>
      <c r="C112" s="3" t="s">
        <v>310</v>
      </c>
      <c r="D112" s="3" t="s">
        <v>314</v>
      </c>
      <c r="E112" s="3" t="s">
        <v>315</v>
      </c>
      <c r="F112" s="2">
        <v>43678</v>
      </c>
      <c r="G112" s="2"/>
      <c r="H112" s="179" t="s">
        <v>17</v>
      </c>
      <c r="I112" s="3" t="s">
        <v>41</v>
      </c>
      <c r="J112" s="3" t="s">
        <v>19</v>
      </c>
      <c r="K112" s="3"/>
    </row>
    <row r="113" spans="1:11" ht="72" x14ac:dyDescent="0.3">
      <c r="A113" s="3" t="s">
        <v>313</v>
      </c>
      <c r="B113" s="3" t="str">
        <f>"027484043"</f>
        <v>027484043</v>
      </c>
      <c r="C113" s="3" t="s">
        <v>310</v>
      </c>
      <c r="D113" s="3" t="s">
        <v>316</v>
      </c>
      <c r="E113" s="3" t="s">
        <v>315</v>
      </c>
      <c r="F113" s="2">
        <v>43678</v>
      </c>
      <c r="G113" s="2"/>
      <c r="H113" s="180" t="s">
        <v>17</v>
      </c>
      <c r="I113" s="3" t="s">
        <v>41</v>
      </c>
      <c r="J113" s="3" t="s">
        <v>19</v>
      </c>
      <c r="K113" s="3"/>
    </row>
    <row r="114" spans="1:11" ht="43.2" x14ac:dyDescent="0.3">
      <c r="A114" s="3" t="s">
        <v>317</v>
      </c>
      <c r="B114" s="3" t="str">
        <f>"029431032"</f>
        <v>029431032</v>
      </c>
      <c r="C114" s="3" t="s">
        <v>318</v>
      </c>
      <c r="D114" s="3" t="s">
        <v>319</v>
      </c>
      <c r="E114" s="3" t="s">
        <v>320</v>
      </c>
      <c r="F114" s="2">
        <v>44013</v>
      </c>
      <c r="G114" s="2">
        <v>44104</v>
      </c>
      <c r="H114" s="181" t="s">
        <v>17</v>
      </c>
      <c r="I114" s="3" t="s">
        <v>41</v>
      </c>
      <c r="J114" s="3" t="s">
        <v>19</v>
      </c>
      <c r="K114" s="3"/>
    </row>
    <row r="115" spans="1:11" ht="43.2" x14ac:dyDescent="0.3">
      <c r="A115" s="3" t="s">
        <v>321</v>
      </c>
      <c r="B115" s="3" t="str">
        <f>"029429040"</f>
        <v>029429040</v>
      </c>
      <c r="C115" s="3" t="s">
        <v>318</v>
      </c>
      <c r="D115" s="3" t="s">
        <v>322</v>
      </c>
      <c r="E115" s="3" t="s">
        <v>320</v>
      </c>
      <c r="F115" s="2">
        <v>44013</v>
      </c>
      <c r="G115" s="2">
        <v>44104</v>
      </c>
      <c r="H115" s="182" t="s">
        <v>17</v>
      </c>
      <c r="I115" s="3" t="s">
        <v>41</v>
      </c>
      <c r="J115" s="3" t="s">
        <v>19</v>
      </c>
      <c r="K115" s="3"/>
    </row>
    <row r="116" spans="1:11" ht="43.2" x14ac:dyDescent="0.3">
      <c r="A116" s="3" t="s">
        <v>323</v>
      </c>
      <c r="B116" s="3" t="str">
        <f>"029430030"</f>
        <v>029430030</v>
      </c>
      <c r="C116" s="3" t="s">
        <v>318</v>
      </c>
      <c r="D116" s="3" t="s">
        <v>324</v>
      </c>
      <c r="E116" s="3" t="s">
        <v>320</v>
      </c>
      <c r="F116" s="2">
        <v>44013</v>
      </c>
      <c r="G116" s="2">
        <v>44104</v>
      </c>
      <c r="H116" s="183" t="s">
        <v>17</v>
      </c>
      <c r="I116" s="3" t="s">
        <v>41</v>
      </c>
      <c r="J116" s="3" t="s">
        <v>19</v>
      </c>
      <c r="K116" s="3"/>
    </row>
    <row r="117" spans="1:11" ht="43.2" x14ac:dyDescent="0.3">
      <c r="A117" s="3" t="s">
        <v>325</v>
      </c>
      <c r="B117" s="3" t="str">
        <f>"011226091"</f>
        <v>011226091</v>
      </c>
      <c r="C117" s="3" t="s">
        <v>326</v>
      </c>
      <c r="D117" s="3" t="s">
        <v>327</v>
      </c>
      <c r="E117" s="3" t="s">
        <v>307</v>
      </c>
      <c r="F117" s="2">
        <v>43570</v>
      </c>
      <c r="G117" s="2"/>
      <c r="H117" s="184" t="s">
        <v>37</v>
      </c>
      <c r="I117" s="185" t="s">
        <v>18</v>
      </c>
      <c r="J117" s="3" t="s">
        <v>19</v>
      </c>
      <c r="K117" s="3"/>
    </row>
    <row r="118" spans="1:11" ht="43.2" x14ac:dyDescent="0.3">
      <c r="A118" s="3" t="s">
        <v>325</v>
      </c>
      <c r="B118" s="3" t="str">
        <f>"011226139"</f>
        <v>011226139</v>
      </c>
      <c r="C118" s="3" t="s">
        <v>328</v>
      </c>
      <c r="D118" s="3" t="s">
        <v>329</v>
      </c>
      <c r="E118" s="3" t="s">
        <v>307</v>
      </c>
      <c r="F118" s="2">
        <v>44021</v>
      </c>
      <c r="G118" s="2"/>
      <c r="H118" s="186" t="s">
        <v>37</v>
      </c>
      <c r="I118" s="187" t="s">
        <v>18</v>
      </c>
      <c r="J118" s="3" t="s">
        <v>19</v>
      </c>
      <c r="K118" s="3"/>
    </row>
    <row r="119" spans="1:11" ht="57.6" x14ac:dyDescent="0.3">
      <c r="A119" s="3" t="s">
        <v>330</v>
      </c>
      <c r="B119" s="3" t="str">
        <f>"037054018"</f>
        <v>037054018</v>
      </c>
      <c r="C119" s="3" t="s">
        <v>331</v>
      </c>
      <c r="D119" s="3" t="s">
        <v>332</v>
      </c>
      <c r="E119" s="3" t="s">
        <v>239</v>
      </c>
      <c r="F119" s="2">
        <v>44187</v>
      </c>
      <c r="G119" s="2"/>
      <c r="H119" s="188" t="s">
        <v>37</v>
      </c>
      <c r="I119" s="189" t="s">
        <v>18</v>
      </c>
      <c r="J119" s="3" t="s">
        <v>19</v>
      </c>
      <c r="K119" s="3"/>
    </row>
    <row r="120" spans="1:11" ht="57.6" x14ac:dyDescent="0.3">
      <c r="A120" s="3" t="s">
        <v>330</v>
      </c>
      <c r="B120" s="3" t="str">
        <f>"037054020"</f>
        <v>037054020</v>
      </c>
      <c r="C120" s="3" t="s">
        <v>331</v>
      </c>
      <c r="D120" s="3" t="s">
        <v>333</v>
      </c>
      <c r="E120" s="3" t="s">
        <v>239</v>
      </c>
      <c r="F120" s="2">
        <v>44187</v>
      </c>
      <c r="G120" s="2"/>
      <c r="H120" s="190" t="s">
        <v>37</v>
      </c>
      <c r="I120" s="191" t="s">
        <v>18</v>
      </c>
      <c r="J120" s="3" t="s">
        <v>19</v>
      </c>
      <c r="K120" s="3"/>
    </row>
    <row r="121" spans="1:11" ht="57.6" x14ac:dyDescent="0.3">
      <c r="A121" s="3" t="s">
        <v>330</v>
      </c>
      <c r="B121" s="3" t="str">
        <f>"037054032"</f>
        <v>037054032</v>
      </c>
      <c r="C121" s="3" t="s">
        <v>331</v>
      </c>
      <c r="D121" s="3" t="s">
        <v>334</v>
      </c>
      <c r="E121" s="3" t="s">
        <v>239</v>
      </c>
      <c r="F121" s="2">
        <v>44187</v>
      </c>
      <c r="G121" s="2"/>
      <c r="H121" s="192" t="s">
        <v>37</v>
      </c>
      <c r="I121" s="193" t="s">
        <v>18</v>
      </c>
      <c r="J121" s="3" t="s">
        <v>19</v>
      </c>
      <c r="K121" s="3"/>
    </row>
    <row r="122" spans="1:11" ht="57.6" x14ac:dyDescent="0.3">
      <c r="A122" s="3" t="s">
        <v>330</v>
      </c>
      <c r="B122" s="3" t="str">
        <f>"037054044"</f>
        <v>037054044</v>
      </c>
      <c r="C122" s="3" t="s">
        <v>331</v>
      </c>
      <c r="D122" s="3" t="s">
        <v>335</v>
      </c>
      <c r="E122" s="3" t="s">
        <v>239</v>
      </c>
      <c r="F122" s="2">
        <v>44187</v>
      </c>
      <c r="G122" s="2"/>
      <c r="H122" s="194" t="s">
        <v>37</v>
      </c>
      <c r="I122" s="195" t="s">
        <v>18</v>
      </c>
      <c r="J122" s="3" t="s">
        <v>19</v>
      </c>
      <c r="K122" s="3"/>
    </row>
    <row r="123" spans="1:11" ht="57.6" x14ac:dyDescent="0.3">
      <c r="A123" s="3" t="s">
        <v>330</v>
      </c>
      <c r="B123" s="3" t="str">
        <f>"037054057"</f>
        <v>037054057</v>
      </c>
      <c r="C123" s="3" t="s">
        <v>331</v>
      </c>
      <c r="D123" s="3" t="s">
        <v>336</v>
      </c>
      <c r="E123" s="3" t="s">
        <v>239</v>
      </c>
      <c r="F123" s="2">
        <v>44187</v>
      </c>
      <c r="G123" s="2"/>
      <c r="H123" s="196" t="s">
        <v>37</v>
      </c>
      <c r="I123" s="197" t="s">
        <v>18</v>
      </c>
      <c r="J123" s="3" t="s">
        <v>19</v>
      </c>
      <c r="K123" s="3"/>
    </row>
    <row r="124" spans="1:11" ht="57.6" x14ac:dyDescent="0.3">
      <c r="A124" s="3" t="s">
        <v>330</v>
      </c>
      <c r="B124" s="3" t="str">
        <f>"037054071"</f>
        <v>037054071</v>
      </c>
      <c r="C124" s="3" t="s">
        <v>337</v>
      </c>
      <c r="D124" s="3" t="s">
        <v>338</v>
      </c>
      <c r="E124" s="3" t="s">
        <v>239</v>
      </c>
      <c r="F124" s="2">
        <v>44187</v>
      </c>
      <c r="G124" s="2"/>
      <c r="H124" s="198" t="s">
        <v>37</v>
      </c>
      <c r="I124" s="199" t="s">
        <v>18</v>
      </c>
      <c r="J124" s="3" t="s">
        <v>19</v>
      </c>
      <c r="K124" s="3"/>
    </row>
    <row r="125" spans="1:11" ht="57.6" x14ac:dyDescent="0.3">
      <c r="A125" s="3" t="s">
        <v>330</v>
      </c>
      <c r="B125" s="3" t="str">
        <f>"037054083"</f>
        <v>037054083</v>
      </c>
      <c r="C125" s="3" t="s">
        <v>337</v>
      </c>
      <c r="D125" s="3" t="s">
        <v>339</v>
      </c>
      <c r="E125" s="3" t="s">
        <v>239</v>
      </c>
      <c r="F125" s="2">
        <v>44187</v>
      </c>
      <c r="G125" s="2"/>
      <c r="H125" s="200" t="s">
        <v>37</v>
      </c>
      <c r="I125" s="201" t="s">
        <v>18</v>
      </c>
      <c r="J125" s="3" t="s">
        <v>19</v>
      </c>
      <c r="K125" s="3"/>
    </row>
    <row r="126" spans="1:11" ht="43.2" x14ac:dyDescent="0.3">
      <c r="A126" s="3" t="s">
        <v>340</v>
      </c>
      <c r="B126" s="3" t="str">
        <f>"033200015"</f>
        <v>033200015</v>
      </c>
      <c r="C126" s="3" t="s">
        <v>341</v>
      </c>
      <c r="D126" s="3" t="s">
        <v>342</v>
      </c>
      <c r="E126" s="3" t="s">
        <v>107</v>
      </c>
      <c r="F126" s="2">
        <v>44002</v>
      </c>
      <c r="G126" s="2"/>
      <c r="H126" s="202" t="s">
        <v>17</v>
      </c>
      <c r="I126" s="3" t="s">
        <v>41</v>
      </c>
      <c r="J126" s="3" t="s">
        <v>19</v>
      </c>
      <c r="K126" s="3"/>
    </row>
    <row r="127" spans="1:11" ht="43.2" x14ac:dyDescent="0.3">
      <c r="A127" s="3" t="s">
        <v>343</v>
      </c>
      <c r="B127" s="3" t="str">
        <f>"044112023"</f>
        <v>044112023</v>
      </c>
      <c r="C127" s="3" t="s">
        <v>341</v>
      </c>
      <c r="D127" s="3" t="s">
        <v>344</v>
      </c>
      <c r="E127" s="3" t="s">
        <v>83</v>
      </c>
      <c r="F127" s="2">
        <v>44135</v>
      </c>
      <c r="G127" s="2"/>
      <c r="H127" s="203" t="s">
        <v>17</v>
      </c>
      <c r="I127" s="3" t="s">
        <v>41</v>
      </c>
      <c r="J127" s="3" t="s">
        <v>19</v>
      </c>
      <c r="K127" s="3"/>
    </row>
    <row r="128" spans="1:11" ht="43.2" x14ac:dyDescent="0.3">
      <c r="A128" s="3" t="s">
        <v>345</v>
      </c>
      <c r="B128" s="3" t="str">
        <f>"044329011"</f>
        <v>044329011</v>
      </c>
      <c r="C128" s="3" t="s">
        <v>346</v>
      </c>
      <c r="D128" s="3" t="s">
        <v>347</v>
      </c>
      <c r="E128" s="3" t="s">
        <v>83</v>
      </c>
      <c r="F128" s="2">
        <v>44053</v>
      </c>
      <c r="G128" s="2"/>
      <c r="H128" s="204" t="s">
        <v>17</v>
      </c>
      <c r="I128" s="3" t="s">
        <v>41</v>
      </c>
      <c r="J128" s="3" t="s">
        <v>19</v>
      </c>
      <c r="K128" s="3"/>
    </row>
    <row r="129" spans="1:11" ht="43.2" x14ac:dyDescent="0.3">
      <c r="A129" s="3" t="s">
        <v>348</v>
      </c>
      <c r="B129" s="3" t="str">
        <f>"027444013"</f>
        <v>027444013</v>
      </c>
      <c r="C129" s="3" t="s">
        <v>349</v>
      </c>
      <c r="D129" s="3" t="s">
        <v>350</v>
      </c>
      <c r="E129" s="3" t="s">
        <v>288</v>
      </c>
      <c r="F129" s="2">
        <v>43220</v>
      </c>
      <c r="G129" s="2"/>
      <c r="H129" s="205" t="s">
        <v>17</v>
      </c>
      <c r="I129" s="206" t="s">
        <v>18</v>
      </c>
      <c r="J129" s="3" t="s">
        <v>19</v>
      </c>
      <c r="K129" s="3"/>
    </row>
    <row r="130" spans="1:11" ht="43.2" x14ac:dyDescent="0.3">
      <c r="A130" s="3" t="s">
        <v>348</v>
      </c>
      <c r="B130" s="3" t="str">
        <f>"027444025"</f>
        <v>027444025</v>
      </c>
      <c r="C130" s="3" t="s">
        <v>349</v>
      </c>
      <c r="D130" s="3" t="s">
        <v>351</v>
      </c>
      <c r="E130" s="3" t="s">
        <v>288</v>
      </c>
      <c r="F130" s="2">
        <v>43220</v>
      </c>
      <c r="G130" s="2"/>
      <c r="H130" s="207" t="s">
        <v>17</v>
      </c>
      <c r="I130" s="208" t="s">
        <v>18</v>
      </c>
      <c r="J130" s="3" t="s">
        <v>19</v>
      </c>
      <c r="K130" s="3"/>
    </row>
    <row r="131" spans="1:11" ht="43.2" x14ac:dyDescent="0.3">
      <c r="A131" s="3" t="s">
        <v>352</v>
      </c>
      <c r="B131" s="3" t="str">
        <f>"037329012"</f>
        <v>037329012</v>
      </c>
      <c r="C131" s="3" t="s">
        <v>349</v>
      </c>
      <c r="D131" s="3" t="s">
        <v>350</v>
      </c>
      <c r="E131" s="3" t="s">
        <v>353</v>
      </c>
      <c r="F131" s="2">
        <v>44183</v>
      </c>
      <c r="G131" s="2">
        <v>43908</v>
      </c>
      <c r="H131" s="209" t="s">
        <v>17</v>
      </c>
      <c r="I131" s="3" t="s">
        <v>41</v>
      </c>
      <c r="J131" s="3" t="s">
        <v>19</v>
      </c>
      <c r="K131" s="3"/>
    </row>
    <row r="132" spans="1:11" ht="43.2" x14ac:dyDescent="0.3">
      <c r="A132" s="3" t="s">
        <v>354</v>
      </c>
      <c r="B132" s="3" t="str">
        <f>"040789063"</f>
        <v>040789063</v>
      </c>
      <c r="C132" s="3" t="s">
        <v>349</v>
      </c>
      <c r="D132" s="3" t="s">
        <v>355</v>
      </c>
      <c r="E132" s="3" t="s">
        <v>83</v>
      </c>
      <c r="F132" s="2">
        <v>44249</v>
      </c>
      <c r="G132" s="2"/>
      <c r="H132" s="210" t="s">
        <v>17</v>
      </c>
      <c r="I132" s="3" t="s">
        <v>41</v>
      </c>
      <c r="J132" s="3" t="s">
        <v>19</v>
      </c>
      <c r="K132" s="3"/>
    </row>
    <row r="133" spans="1:11" ht="43.2" x14ac:dyDescent="0.3">
      <c r="A133" s="3" t="s">
        <v>356</v>
      </c>
      <c r="B133" s="3" t="str">
        <f>"039853039"</f>
        <v>039853039</v>
      </c>
      <c r="C133" s="3" t="s">
        <v>357</v>
      </c>
      <c r="D133" s="3" t="s">
        <v>358</v>
      </c>
      <c r="E133" s="3" t="s">
        <v>359</v>
      </c>
      <c r="F133" s="2">
        <v>43224</v>
      </c>
      <c r="G133" s="2"/>
      <c r="H133" s="211" t="s">
        <v>17</v>
      </c>
      <c r="I133" s="212" t="s">
        <v>32</v>
      </c>
      <c r="J133" s="3" t="s">
        <v>19</v>
      </c>
      <c r="K133" s="3"/>
    </row>
    <row r="134" spans="1:11" ht="43.2" x14ac:dyDescent="0.3">
      <c r="A134" s="3" t="s">
        <v>356</v>
      </c>
      <c r="B134" s="3" t="str">
        <f>"039853078"</f>
        <v>039853078</v>
      </c>
      <c r="C134" s="3" t="s">
        <v>357</v>
      </c>
      <c r="D134" s="3" t="s">
        <v>360</v>
      </c>
      <c r="E134" s="3" t="s">
        <v>359</v>
      </c>
      <c r="F134" s="2">
        <v>43224</v>
      </c>
      <c r="G134" s="2"/>
      <c r="H134" s="213" t="s">
        <v>17</v>
      </c>
      <c r="I134" s="214" t="s">
        <v>32</v>
      </c>
      <c r="J134" s="3" t="s">
        <v>19</v>
      </c>
      <c r="K134" s="3"/>
    </row>
    <row r="135" spans="1:11" ht="43.2" x14ac:dyDescent="0.3">
      <c r="A135" s="3" t="s">
        <v>361</v>
      </c>
      <c r="B135" s="3" t="str">
        <f>"039799186"</f>
        <v>039799186</v>
      </c>
      <c r="C135" s="3" t="s">
        <v>357</v>
      </c>
      <c r="D135" s="3" t="s">
        <v>362</v>
      </c>
      <c r="E135" s="3" t="s">
        <v>56</v>
      </c>
      <c r="F135" s="2">
        <v>44043</v>
      </c>
      <c r="G135" s="2"/>
      <c r="H135" s="215" t="s">
        <v>17</v>
      </c>
      <c r="I135" s="216" t="s">
        <v>18</v>
      </c>
      <c r="J135" s="3" t="s">
        <v>19</v>
      </c>
      <c r="K135" s="3"/>
    </row>
    <row r="136" spans="1:11" ht="43.2" x14ac:dyDescent="0.3">
      <c r="A136" s="3" t="s">
        <v>363</v>
      </c>
      <c r="B136" s="3" t="str">
        <f>"034701019"</f>
        <v>034701019</v>
      </c>
      <c r="C136" s="3" t="s">
        <v>364</v>
      </c>
      <c r="D136" s="3" t="s">
        <v>365</v>
      </c>
      <c r="E136" s="3" t="s">
        <v>366</v>
      </c>
      <c r="F136" s="2">
        <v>43703</v>
      </c>
      <c r="G136" s="2"/>
      <c r="H136" s="217" t="s">
        <v>37</v>
      </c>
      <c r="I136" s="218" t="s">
        <v>18</v>
      </c>
      <c r="J136" s="3" t="s">
        <v>19</v>
      </c>
      <c r="K136" s="3"/>
    </row>
    <row r="137" spans="1:11" ht="57.6" x14ac:dyDescent="0.3">
      <c r="A137" s="3" t="s">
        <v>363</v>
      </c>
      <c r="B137" s="3" t="str">
        <f>"034701033"</f>
        <v>034701033</v>
      </c>
      <c r="C137" s="3" t="s">
        <v>364</v>
      </c>
      <c r="D137" s="3" t="s">
        <v>367</v>
      </c>
      <c r="E137" s="3" t="s">
        <v>366</v>
      </c>
      <c r="F137" s="2">
        <v>43831</v>
      </c>
      <c r="G137" s="2"/>
      <c r="H137" s="219" t="s">
        <v>37</v>
      </c>
      <c r="I137" s="220" t="s">
        <v>18</v>
      </c>
      <c r="J137" s="3" t="s">
        <v>19</v>
      </c>
      <c r="K137" s="3"/>
    </row>
    <row r="138" spans="1:11" ht="57.6" x14ac:dyDescent="0.3">
      <c r="A138" s="3" t="s">
        <v>368</v>
      </c>
      <c r="B138" s="3" t="str">
        <f>"045173046"</f>
        <v>045173046</v>
      </c>
      <c r="C138" s="3" t="s">
        <v>369</v>
      </c>
      <c r="D138" s="3" t="s">
        <v>370</v>
      </c>
      <c r="E138" s="3" t="s">
        <v>371</v>
      </c>
      <c r="F138" s="2">
        <v>44196</v>
      </c>
      <c r="G138" s="2"/>
      <c r="H138" s="221" t="s">
        <v>17</v>
      </c>
      <c r="I138" s="222" t="s">
        <v>18</v>
      </c>
      <c r="J138" s="3" t="s">
        <v>19</v>
      </c>
      <c r="K138" s="3"/>
    </row>
    <row r="139" spans="1:11" ht="43.2" x14ac:dyDescent="0.3">
      <c r="A139" s="3" t="s">
        <v>372</v>
      </c>
      <c r="B139" s="3" t="str">
        <f>"033676014"</f>
        <v>033676014</v>
      </c>
      <c r="C139" s="3" t="s">
        <v>373</v>
      </c>
      <c r="D139" s="3" t="s">
        <v>374</v>
      </c>
      <c r="E139" s="3" t="s">
        <v>211</v>
      </c>
      <c r="F139" s="2">
        <v>43340</v>
      </c>
      <c r="G139" s="2"/>
      <c r="H139" s="223" t="s">
        <v>17</v>
      </c>
      <c r="I139" s="224" t="s">
        <v>18</v>
      </c>
      <c r="J139" s="3" t="s">
        <v>19</v>
      </c>
      <c r="K139" s="3"/>
    </row>
    <row r="140" spans="1:11" ht="43.2" x14ac:dyDescent="0.3">
      <c r="A140" s="3" t="s">
        <v>375</v>
      </c>
      <c r="B140" s="3" t="str">
        <f>"033675012"</f>
        <v>033675012</v>
      </c>
      <c r="C140" s="3" t="s">
        <v>373</v>
      </c>
      <c r="D140" s="3" t="s">
        <v>374</v>
      </c>
      <c r="E140" s="3" t="s">
        <v>83</v>
      </c>
      <c r="F140" s="2">
        <v>44207</v>
      </c>
      <c r="G140" s="2"/>
      <c r="H140" s="225" t="s">
        <v>17</v>
      </c>
      <c r="I140" s="226" t="s">
        <v>18</v>
      </c>
      <c r="J140" s="3" t="s">
        <v>19</v>
      </c>
      <c r="K140" s="3"/>
    </row>
    <row r="141" spans="1:11" ht="43.2" x14ac:dyDescent="0.3">
      <c r="A141" s="3" t="s">
        <v>376</v>
      </c>
      <c r="B141" s="3" t="str">
        <f>"045674025"</f>
        <v>045674025</v>
      </c>
      <c r="C141" s="3"/>
      <c r="D141" s="3" t="s">
        <v>377</v>
      </c>
      <c r="E141" s="3" t="s">
        <v>83</v>
      </c>
      <c r="F141" s="2">
        <v>44207</v>
      </c>
      <c r="G141" s="2"/>
      <c r="H141" s="227" t="s">
        <v>17</v>
      </c>
      <c r="I141" s="3" t="s">
        <v>41</v>
      </c>
      <c r="J141" s="3" t="s">
        <v>19</v>
      </c>
      <c r="K141" s="3"/>
    </row>
    <row r="142" spans="1:11" ht="43.2" x14ac:dyDescent="0.3">
      <c r="A142" s="3" t="s">
        <v>378</v>
      </c>
      <c r="B142" s="3" t="str">
        <f>"037165026"</f>
        <v>037165026</v>
      </c>
      <c r="C142" s="3" t="s">
        <v>379</v>
      </c>
      <c r="D142" s="3" t="s">
        <v>380</v>
      </c>
      <c r="E142" s="3" t="s">
        <v>83</v>
      </c>
      <c r="F142" s="2">
        <v>43770</v>
      </c>
      <c r="G142" s="2"/>
      <c r="H142" s="228" t="s">
        <v>17</v>
      </c>
      <c r="I142" s="229" t="s">
        <v>18</v>
      </c>
      <c r="J142" s="3" t="s">
        <v>19</v>
      </c>
      <c r="K142" s="3"/>
    </row>
    <row r="143" spans="1:11" ht="57.6" x14ac:dyDescent="0.3">
      <c r="A143" s="3" t="s">
        <v>381</v>
      </c>
      <c r="B143" s="3" t="str">
        <f>"042221010"</f>
        <v>042221010</v>
      </c>
      <c r="C143" s="3" t="s">
        <v>382</v>
      </c>
      <c r="D143" s="3" t="s">
        <v>383</v>
      </c>
      <c r="E143" s="3" t="s">
        <v>83</v>
      </c>
      <c r="F143" s="2">
        <v>43334</v>
      </c>
      <c r="G143" s="2"/>
      <c r="H143" s="230" t="s">
        <v>17</v>
      </c>
      <c r="I143" s="231" t="s">
        <v>32</v>
      </c>
      <c r="J143" s="3" t="s">
        <v>19</v>
      </c>
      <c r="K143" s="3"/>
    </row>
    <row r="144" spans="1:11" ht="57.6" x14ac:dyDescent="0.3">
      <c r="A144" s="3" t="s">
        <v>381</v>
      </c>
      <c r="B144" s="3" t="str">
        <f>"042221022"</f>
        <v>042221022</v>
      </c>
      <c r="C144" s="3" t="s">
        <v>382</v>
      </c>
      <c r="D144" s="3" t="s">
        <v>384</v>
      </c>
      <c r="E144" s="3" t="s">
        <v>83</v>
      </c>
      <c r="F144" s="2">
        <v>43334</v>
      </c>
      <c r="G144" s="2"/>
      <c r="H144" s="232" t="s">
        <v>17</v>
      </c>
      <c r="I144" s="233" t="s">
        <v>32</v>
      </c>
      <c r="J144" s="3" t="s">
        <v>19</v>
      </c>
      <c r="K144" s="3"/>
    </row>
    <row r="145" spans="1:11" ht="57.6" x14ac:dyDescent="0.3">
      <c r="A145" s="3" t="s">
        <v>381</v>
      </c>
      <c r="B145" s="3" t="str">
        <f>"042221046"</f>
        <v>042221046</v>
      </c>
      <c r="C145" s="3" t="s">
        <v>382</v>
      </c>
      <c r="D145" s="3" t="s">
        <v>385</v>
      </c>
      <c r="E145" s="3" t="s">
        <v>83</v>
      </c>
      <c r="F145" s="2">
        <v>43613</v>
      </c>
      <c r="G145" s="2"/>
      <c r="H145" s="234" t="s">
        <v>17</v>
      </c>
      <c r="I145" s="3" t="s">
        <v>41</v>
      </c>
      <c r="J145" s="3" t="s">
        <v>19</v>
      </c>
      <c r="K145" s="3"/>
    </row>
    <row r="146" spans="1:11" ht="43.2" x14ac:dyDescent="0.3">
      <c r="A146" s="3" t="s">
        <v>386</v>
      </c>
      <c r="B146" s="3" t="str">
        <f>"036810012"</f>
        <v>036810012</v>
      </c>
      <c r="C146" s="3" t="s">
        <v>379</v>
      </c>
      <c r="D146" s="3" t="s">
        <v>387</v>
      </c>
      <c r="E146" s="3" t="s">
        <v>388</v>
      </c>
      <c r="F146" s="2">
        <v>43157</v>
      </c>
      <c r="G146" s="2"/>
      <c r="H146" s="235" t="s">
        <v>17</v>
      </c>
      <c r="I146" s="236" t="s">
        <v>18</v>
      </c>
      <c r="J146" s="3" t="s">
        <v>19</v>
      </c>
      <c r="K146" s="3"/>
    </row>
    <row r="147" spans="1:11" ht="57.6" x14ac:dyDescent="0.3">
      <c r="A147" s="3" t="s">
        <v>389</v>
      </c>
      <c r="B147" s="3" t="str">
        <f>"043978016"</f>
        <v>043978016</v>
      </c>
      <c r="C147" s="3" t="s">
        <v>382</v>
      </c>
      <c r="D147" s="3" t="s">
        <v>390</v>
      </c>
      <c r="E147" s="3" t="s">
        <v>391</v>
      </c>
      <c r="F147" s="2">
        <v>44217</v>
      </c>
      <c r="G147" s="2"/>
      <c r="H147" s="237" t="s">
        <v>17</v>
      </c>
      <c r="I147" s="3" t="s">
        <v>41</v>
      </c>
      <c r="J147" s="3" t="s">
        <v>156</v>
      </c>
      <c r="K147" s="3"/>
    </row>
    <row r="148" spans="1:11" ht="57.6" x14ac:dyDescent="0.3">
      <c r="A148" s="3" t="s">
        <v>389</v>
      </c>
      <c r="B148" s="3" t="str">
        <f>"043978081"</f>
        <v>043978081</v>
      </c>
      <c r="C148" s="3" t="s">
        <v>382</v>
      </c>
      <c r="D148" s="3" t="s">
        <v>392</v>
      </c>
      <c r="E148" s="3" t="s">
        <v>391</v>
      </c>
      <c r="F148" s="2">
        <v>44125</v>
      </c>
      <c r="G148" s="2"/>
      <c r="H148" s="238" t="s">
        <v>17</v>
      </c>
      <c r="I148" s="3" t="s">
        <v>41</v>
      </c>
      <c r="J148" s="3" t="s">
        <v>156</v>
      </c>
      <c r="K148" s="3"/>
    </row>
    <row r="149" spans="1:11" ht="43.2" x14ac:dyDescent="0.3">
      <c r="A149" s="3" t="s">
        <v>393</v>
      </c>
      <c r="B149" s="3" t="str">
        <f>"037034028"</f>
        <v>037034028</v>
      </c>
      <c r="C149" s="3" t="s">
        <v>379</v>
      </c>
      <c r="D149" s="3" t="s">
        <v>387</v>
      </c>
      <c r="E149" s="3" t="s">
        <v>64</v>
      </c>
      <c r="F149" s="2">
        <v>42429</v>
      </c>
      <c r="G149" s="2"/>
      <c r="H149" s="239" t="s">
        <v>17</v>
      </c>
      <c r="I149" s="240" t="s">
        <v>18</v>
      </c>
      <c r="J149" s="3" t="s">
        <v>19</v>
      </c>
      <c r="K149" s="3"/>
    </row>
    <row r="150" spans="1:11" ht="43.2" x14ac:dyDescent="0.3">
      <c r="A150" s="3" t="s">
        <v>394</v>
      </c>
      <c r="B150" s="3" t="str">
        <f>"036815025"</f>
        <v>036815025</v>
      </c>
      <c r="C150" s="3" t="s">
        <v>379</v>
      </c>
      <c r="D150" s="3" t="s">
        <v>395</v>
      </c>
      <c r="E150" s="3" t="s">
        <v>70</v>
      </c>
      <c r="F150" s="2">
        <v>44015</v>
      </c>
      <c r="G150" s="2"/>
      <c r="H150" s="241" t="s">
        <v>17</v>
      </c>
      <c r="I150" s="3" t="s">
        <v>41</v>
      </c>
      <c r="J150" s="3" t="s">
        <v>19</v>
      </c>
      <c r="K150" s="3"/>
    </row>
    <row r="151" spans="1:11" ht="43.2" x14ac:dyDescent="0.3">
      <c r="A151" s="3" t="s">
        <v>396</v>
      </c>
      <c r="B151" s="3" t="str">
        <f>"034812014"</f>
        <v>034812014</v>
      </c>
      <c r="C151" s="3" t="s">
        <v>373</v>
      </c>
      <c r="D151" s="3" t="s">
        <v>397</v>
      </c>
      <c r="E151" s="3" t="s">
        <v>56</v>
      </c>
      <c r="F151" s="2">
        <v>43983</v>
      </c>
      <c r="G151" s="2"/>
      <c r="H151" s="242" t="s">
        <v>17</v>
      </c>
      <c r="I151" s="243" t="s">
        <v>18</v>
      </c>
      <c r="J151" s="3" t="s">
        <v>19</v>
      </c>
      <c r="K151" s="3"/>
    </row>
    <row r="152" spans="1:11" ht="43.2" x14ac:dyDescent="0.3">
      <c r="A152" s="3" t="s">
        <v>398</v>
      </c>
      <c r="B152" s="3" t="str">
        <f>"033452057"</f>
        <v>033452057</v>
      </c>
      <c r="C152" s="3" t="s">
        <v>399</v>
      </c>
      <c r="D152" s="3" t="s">
        <v>400</v>
      </c>
      <c r="E152" s="3" t="s">
        <v>401</v>
      </c>
      <c r="F152" s="2">
        <v>42619</v>
      </c>
      <c r="G152" s="2"/>
      <c r="H152" s="244" t="s">
        <v>37</v>
      </c>
      <c r="I152" s="3" t="s">
        <v>41</v>
      </c>
      <c r="J152" s="3" t="s">
        <v>19</v>
      </c>
      <c r="K152" s="3"/>
    </row>
    <row r="153" spans="1:11" ht="57.6" x14ac:dyDescent="0.3">
      <c r="A153" s="3" t="s">
        <v>398</v>
      </c>
      <c r="B153" s="3" t="str">
        <f>"033452083"</f>
        <v>033452083</v>
      </c>
      <c r="C153" s="3" t="s">
        <v>399</v>
      </c>
      <c r="D153" s="3" t="s">
        <v>402</v>
      </c>
      <c r="E153" s="3" t="s">
        <v>401</v>
      </c>
      <c r="F153" s="2">
        <v>43427</v>
      </c>
      <c r="G153" s="2"/>
      <c r="H153" s="245" t="s">
        <v>37</v>
      </c>
      <c r="I153" s="3" t="s">
        <v>41</v>
      </c>
      <c r="J153" s="3" t="s">
        <v>156</v>
      </c>
      <c r="K153" s="3"/>
    </row>
    <row r="154" spans="1:11" ht="43.2" x14ac:dyDescent="0.3">
      <c r="A154" s="3" t="s">
        <v>403</v>
      </c>
      <c r="B154" s="3" t="str">
        <f>"032892010"</f>
        <v>032892010</v>
      </c>
      <c r="C154" s="3" t="s">
        <v>373</v>
      </c>
      <c r="D154" s="3" t="s">
        <v>374</v>
      </c>
      <c r="E154" s="3" t="s">
        <v>70</v>
      </c>
      <c r="F154" s="2">
        <v>43522</v>
      </c>
      <c r="G154" s="2">
        <v>43879</v>
      </c>
      <c r="H154" s="246" t="s">
        <v>17</v>
      </c>
      <c r="I154" s="3" t="s">
        <v>41</v>
      </c>
      <c r="J154" s="3" t="s">
        <v>19</v>
      </c>
      <c r="K154" s="3"/>
    </row>
    <row r="155" spans="1:11" ht="72" x14ac:dyDescent="0.3">
      <c r="A155" s="3" t="s">
        <v>404</v>
      </c>
      <c r="B155" s="3" t="str">
        <f>"033121029"</f>
        <v>033121029</v>
      </c>
      <c r="C155" s="3" t="s">
        <v>405</v>
      </c>
      <c r="D155" s="3" t="s">
        <v>406</v>
      </c>
      <c r="E155" s="3" t="s">
        <v>407</v>
      </c>
      <c r="F155" s="2">
        <v>42424</v>
      </c>
      <c r="G155" s="2"/>
      <c r="H155" s="247" t="s">
        <v>37</v>
      </c>
      <c r="I155" s="248" t="s">
        <v>32</v>
      </c>
      <c r="J155" s="3" t="s">
        <v>156</v>
      </c>
      <c r="K155" s="3"/>
    </row>
    <row r="156" spans="1:11" ht="57.6" x14ac:dyDescent="0.3">
      <c r="A156" s="3" t="s">
        <v>404</v>
      </c>
      <c r="B156" s="3" t="str">
        <f>"033121017"</f>
        <v>033121017</v>
      </c>
      <c r="C156" s="3" t="s">
        <v>405</v>
      </c>
      <c r="D156" s="3" t="s">
        <v>408</v>
      </c>
      <c r="E156" s="3" t="s">
        <v>407</v>
      </c>
      <c r="F156" s="2">
        <v>42424</v>
      </c>
      <c r="G156" s="2"/>
      <c r="H156" s="249" t="s">
        <v>37</v>
      </c>
      <c r="I156" s="250" t="s">
        <v>32</v>
      </c>
      <c r="J156" s="3" t="s">
        <v>156</v>
      </c>
      <c r="K156" s="3"/>
    </row>
    <row r="157" spans="1:11" ht="43.2" x14ac:dyDescent="0.3">
      <c r="A157" s="3" t="s">
        <v>404</v>
      </c>
      <c r="B157" s="3" t="str">
        <f>"033121031"</f>
        <v>033121031</v>
      </c>
      <c r="C157" s="3" t="s">
        <v>405</v>
      </c>
      <c r="D157" s="3" t="s">
        <v>409</v>
      </c>
      <c r="E157" s="3" t="s">
        <v>407</v>
      </c>
      <c r="F157" s="2">
        <v>42424</v>
      </c>
      <c r="G157" s="2"/>
      <c r="H157" s="251" t="s">
        <v>17</v>
      </c>
      <c r="I157" s="252" t="s">
        <v>32</v>
      </c>
      <c r="J157" s="3" t="s">
        <v>19</v>
      </c>
      <c r="K157" s="3"/>
    </row>
    <row r="158" spans="1:11" ht="57.6" x14ac:dyDescent="0.3">
      <c r="A158" s="3" t="s">
        <v>410</v>
      </c>
      <c r="B158" s="3" t="str">
        <f>"020121048"</f>
        <v>020121048</v>
      </c>
      <c r="C158" s="3" t="s">
        <v>405</v>
      </c>
      <c r="D158" s="3" t="s">
        <v>411</v>
      </c>
      <c r="E158" s="3" t="s">
        <v>412</v>
      </c>
      <c r="F158" s="2">
        <v>42628</v>
      </c>
      <c r="G158" s="2"/>
      <c r="H158" s="253" t="s">
        <v>37</v>
      </c>
      <c r="I158" s="254" t="s">
        <v>18</v>
      </c>
      <c r="J158" s="3" t="s">
        <v>156</v>
      </c>
      <c r="K158" s="3"/>
    </row>
    <row r="159" spans="1:11" ht="43.2" x14ac:dyDescent="0.3">
      <c r="A159" s="3" t="s">
        <v>410</v>
      </c>
      <c r="B159" s="3" t="str">
        <f>"020121036"</f>
        <v>020121036</v>
      </c>
      <c r="C159" s="3" t="s">
        <v>413</v>
      </c>
      <c r="D159" s="3" t="s">
        <v>414</v>
      </c>
      <c r="E159" s="3" t="s">
        <v>412</v>
      </c>
      <c r="F159" s="2">
        <v>42704</v>
      </c>
      <c r="G159" s="2"/>
      <c r="H159" s="255" t="s">
        <v>37</v>
      </c>
      <c r="I159" s="256" t="s">
        <v>18</v>
      </c>
      <c r="J159" s="3" t="s">
        <v>19</v>
      </c>
      <c r="K159" s="3"/>
    </row>
    <row r="160" spans="1:11" ht="43.2" x14ac:dyDescent="0.3">
      <c r="A160" s="3" t="s">
        <v>410</v>
      </c>
      <c r="B160" s="3" t="str">
        <f>"020121137"</f>
        <v>020121137</v>
      </c>
      <c r="C160" s="3" t="s">
        <v>415</v>
      </c>
      <c r="D160" s="3" t="s">
        <v>416</v>
      </c>
      <c r="E160" s="3" t="s">
        <v>412</v>
      </c>
      <c r="F160" s="2">
        <v>42738</v>
      </c>
      <c r="G160" s="2"/>
      <c r="H160" s="257" t="s">
        <v>37</v>
      </c>
      <c r="I160" s="258" t="s">
        <v>18</v>
      </c>
      <c r="J160" s="3" t="s">
        <v>19</v>
      </c>
      <c r="K160" s="3"/>
    </row>
    <row r="161" spans="1:11" ht="57.6" x14ac:dyDescent="0.3">
      <c r="A161" s="3" t="s">
        <v>410</v>
      </c>
      <c r="B161" s="3" t="str">
        <f>"020121087"</f>
        <v>020121087</v>
      </c>
      <c r="C161" s="3" t="s">
        <v>405</v>
      </c>
      <c r="D161" s="3" t="s">
        <v>417</v>
      </c>
      <c r="E161" s="3" t="s">
        <v>412</v>
      </c>
      <c r="F161" s="2">
        <v>42581</v>
      </c>
      <c r="G161" s="2"/>
      <c r="H161" s="259" t="s">
        <v>37</v>
      </c>
      <c r="I161" s="260" t="s">
        <v>18</v>
      </c>
      <c r="J161" s="3" t="s">
        <v>156</v>
      </c>
      <c r="K161" s="3"/>
    </row>
    <row r="162" spans="1:11" ht="72" x14ac:dyDescent="0.3">
      <c r="A162" s="3" t="s">
        <v>418</v>
      </c>
      <c r="B162" s="3" t="str">
        <f>"042650022"</f>
        <v>042650022</v>
      </c>
      <c r="C162" s="3"/>
      <c r="D162" s="3" t="s">
        <v>419</v>
      </c>
      <c r="E162" s="3" t="s">
        <v>420</v>
      </c>
      <c r="F162" s="2">
        <v>43098</v>
      </c>
      <c r="G162" s="2"/>
      <c r="H162" s="261" t="s">
        <v>37</v>
      </c>
      <c r="I162" s="262" t="s">
        <v>32</v>
      </c>
      <c r="J162" s="3" t="s">
        <v>19</v>
      </c>
      <c r="K162" s="3"/>
    </row>
    <row r="163" spans="1:11" ht="72" x14ac:dyDescent="0.3">
      <c r="A163" s="3" t="s">
        <v>418</v>
      </c>
      <c r="B163" s="3" t="str">
        <f>"042650046"</f>
        <v>042650046</v>
      </c>
      <c r="C163" s="3"/>
      <c r="D163" s="3" t="s">
        <v>421</v>
      </c>
      <c r="E163" s="3" t="s">
        <v>420</v>
      </c>
      <c r="F163" s="2">
        <v>43098</v>
      </c>
      <c r="G163" s="2"/>
      <c r="H163" s="263" t="s">
        <v>37</v>
      </c>
      <c r="I163" s="264" t="s">
        <v>32</v>
      </c>
      <c r="J163" s="3" t="s">
        <v>19</v>
      </c>
      <c r="K163" s="3"/>
    </row>
    <row r="164" spans="1:11" ht="43.2" x14ac:dyDescent="0.3">
      <c r="A164" s="3" t="s">
        <v>422</v>
      </c>
      <c r="B164" s="3" t="str">
        <f>"021643046"</f>
        <v>021643046</v>
      </c>
      <c r="C164" s="3" t="s">
        <v>423</v>
      </c>
      <c r="D164" s="3" t="s">
        <v>424</v>
      </c>
      <c r="E164" s="3" t="s">
        <v>425</v>
      </c>
      <c r="F164" s="2">
        <v>44050</v>
      </c>
      <c r="G164" s="2">
        <v>44196</v>
      </c>
      <c r="H164" s="265" t="s">
        <v>37</v>
      </c>
      <c r="I164" s="3" t="s">
        <v>152</v>
      </c>
      <c r="J164" s="3" t="s">
        <v>19</v>
      </c>
      <c r="K164" s="3"/>
    </row>
    <row r="165" spans="1:11" ht="43.2" x14ac:dyDescent="0.3">
      <c r="A165" s="3" t="s">
        <v>426</v>
      </c>
      <c r="B165" s="3" t="str">
        <f>"040195012"</f>
        <v>040195012</v>
      </c>
      <c r="C165" s="3" t="s">
        <v>427</v>
      </c>
      <c r="D165" s="3" t="s">
        <v>428</v>
      </c>
      <c r="E165" s="3" t="s">
        <v>64</v>
      </c>
      <c r="F165" s="2">
        <v>44013</v>
      </c>
      <c r="G165" s="2"/>
      <c r="H165" s="266" t="s">
        <v>17</v>
      </c>
      <c r="I165" s="3" t="s">
        <v>41</v>
      </c>
      <c r="J165" s="3" t="s">
        <v>19</v>
      </c>
      <c r="K165" s="3"/>
    </row>
    <row r="166" spans="1:11" ht="72" x14ac:dyDescent="0.3">
      <c r="A166" s="3" t="s">
        <v>429</v>
      </c>
      <c r="B166" s="3" t="str">
        <f>"002238044"</f>
        <v>002238044</v>
      </c>
      <c r="C166" s="3" t="s">
        <v>430</v>
      </c>
      <c r="D166" s="3" t="s">
        <v>431</v>
      </c>
      <c r="E166" s="3" t="s">
        <v>432</v>
      </c>
      <c r="F166" s="2">
        <v>43905</v>
      </c>
      <c r="G166" s="2"/>
      <c r="H166" s="267" t="s">
        <v>17</v>
      </c>
      <c r="I166" s="3" t="s">
        <v>433</v>
      </c>
      <c r="J166" s="3" t="s">
        <v>19</v>
      </c>
      <c r="K166" s="3" t="s">
        <v>434</v>
      </c>
    </row>
    <row r="167" spans="1:11" ht="57.6" x14ac:dyDescent="0.3">
      <c r="A167" s="3" t="s">
        <v>435</v>
      </c>
      <c r="B167" s="3" t="str">
        <f>"024585034"</f>
        <v>024585034</v>
      </c>
      <c r="C167" s="3" t="s">
        <v>436</v>
      </c>
      <c r="D167" s="3" t="s">
        <v>437</v>
      </c>
      <c r="E167" s="3" t="s">
        <v>438</v>
      </c>
      <c r="F167" s="2">
        <v>44196</v>
      </c>
      <c r="G167" s="2"/>
      <c r="H167" s="268" t="s">
        <v>37</v>
      </c>
      <c r="I167" s="269" t="s">
        <v>18</v>
      </c>
      <c r="J167" s="3" t="s">
        <v>156</v>
      </c>
      <c r="K167" s="3" t="s">
        <v>439</v>
      </c>
    </row>
    <row r="168" spans="1:11" ht="43.2" x14ac:dyDescent="0.3">
      <c r="A168" s="3" t="s">
        <v>440</v>
      </c>
      <c r="B168" s="3" t="str">
        <f>"023090020"</f>
        <v>023090020</v>
      </c>
      <c r="C168" s="3" t="s">
        <v>441</v>
      </c>
      <c r="D168" s="3" t="s">
        <v>442</v>
      </c>
      <c r="E168" s="3" t="s">
        <v>151</v>
      </c>
      <c r="F168" s="2">
        <v>43437</v>
      </c>
      <c r="G168" s="2"/>
      <c r="H168" s="270" t="s">
        <v>17</v>
      </c>
      <c r="I168" s="271" t="s">
        <v>18</v>
      </c>
      <c r="J168" s="3" t="s">
        <v>19</v>
      </c>
      <c r="K168" s="3"/>
    </row>
    <row r="169" spans="1:11" ht="57.6" x14ac:dyDescent="0.3">
      <c r="A169" s="3" t="s">
        <v>443</v>
      </c>
      <c r="B169" s="3" t="str">
        <f>"036170013"</f>
        <v>036170013</v>
      </c>
      <c r="C169" s="3" t="s">
        <v>444</v>
      </c>
      <c r="D169" s="3" t="s">
        <v>445</v>
      </c>
      <c r="E169" s="3" t="s">
        <v>151</v>
      </c>
      <c r="F169" s="2">
        <v>44166</v>
      </c>
      <c r="G169" s="2">
        <v>44227</v>
      </c>
      <c r="H169" s="272" t="s">
        <v>37</v>
      </c>
      <c r="I169" s="3" t="s">
        <v>41</v>
      </c>
      <c r="J169" s="3" t="s">
        <v>156</v>
      </c>
      <c r="K169" s="3"/>
    </row>
    <row r="170" spans="1:11" ht="57.6" x14ac:dyDescent="0.3">
      <c r="A170" s="3" t="s">
        <v>446</v>
      </c>
      <c r="B170" s="3" t="str">
        <f>"046400014"</f>
        <v>046400014</v>
      </c>
      <c r="C170" s="3" t="s">
        <v>447</v>
      </c>
      <c r="D170" s="3" t="s">
        <v>448</v>
      </c>
      <c r="E170" s="3" t="s">
        <v>24</v>
      </c>
      <c r="F170" s="2">
        <v>44136</v>
      </c>
      <c r="G170" s="2"/>
      <c r="H170" s="273" t="s">
        <v>17</v>
      </c>
      <c r="I170" s="274" t="s">
        <v>18</v>
      </c>
      <c r="J170" s="3" t="s">
        <v>19</v>
      </c>
      <c r="K170" s="3"/>
    </row>
    <row r="171" spans="1:11" ht="43.2" x14ac:dyDescent="0.3">
      <c r="A171" s="3" t="s">
        <v>449</v>
      </c>
      <c r="B171" s="3" t="str">
        <f>"026380016"</f>
        <v>026380016</v>
      </c>
      <c r="C171" s="3" t="s">
        <v>450</v>
      </c>
      <c r="D171" s="3" t="s">
        <v>451</v>
      </c>
      <c r="E171" s="3" t="s">
        <v>452</v>
      </c>
      <c r="F171" s="2">
        <v>43160</v>
      </c>
      <c r="G171" s="2"/>
      <c r="H171" s="275" t="s">
        <v>37</v>
      </c>
      <c r="I171" s="276" t="s">
        <v>32</v>
      </c>
      <c r="J171" s="3" t="s">
        <v>19</v>
      </c>
      <c r="K171" s="3"/>
    </row>
    <row r="172" spans="1:11" ht="43.2" x14ac:dyDescent="0.3">
      <c r="A172" s="3" t="s">
        <v>453</v>
      </c>
      <c r="B172" s="3" t="str">
        <f>"025855077"</f>
        <v>025855077</v>
      </c>
      <c r="C172" s="3" t="s">
        <v>454</v>
      </c>
      <c r="D172" s="3" t="s">
        <v>455</v>
      </c>
      <c r="E172" s="3" t="s">
        <v>456</v>
      </c>
      <c r="F172" s="2">
        <v>43173</v>
      </c>
      <c r="G172" s="2"/>
      <c r="H172" s="277" t="s">
        <v>17</v>
      </c>
      <c r="I172" s="278" t="s">
        <v>18</v>
      </c>
      <c r="J172" s="3" t="s">
        <v>19</v>
      </c>
      <c r="K172" s="3"/>
    </row>
    <row r="173" spans="1:11" ht="57.6" x14ac:dyDescent="0.3">
      <c r="A173" s="3" t="s">
        <v>457</v>
      </c>
      <c r="B173" s="3" t="str">
        <f>"030760084"</f>
        <v>030760084</v>
      </c>
      <c r="C173" s="3" t="s">
        <v>458</v>
      </c>
      <c r="D173" s="3" t="s">
        <v>459</v>
      </c>
      <c r="E173" s="3" t="s">
        <v>239</v>
      </c>
      <c r="F173" s="2">
        <v>43430</v>
      </c>
      <c r="G173" s="2"/>
      <c r="H173" s="279" t="s">
        <v>17</v>
      </c>
      <c r="I173" s="280" t="s">
        <v>18</v>
      </c>
      <c r="J173" s="3" t="s">
        <v>19</v>
      </c>
      <c r="K173" s="3"/>
    </row>
    <row r="174" spans="1:11" ht="43.2" x14ac:dyDescent="0.3">
      <c r="A174" s="3" t="s">
        <v>460</v>
      </c>
      <c r="B174" s="3" t="str">
        <f>"028757019"</f>
        <v>028757019</v>
      </c>
      <c r="C174" s="3" t="s">
        <v>461</v>
      </c>
      <c r="D174" s="3" t="s">
        <v>462</v>
      </c>
      <c r="E174" s="3" t="s">
        <v>463</v>
      </c>
      <c r="F174" s="2">
        <v>44242</v>
      </c>
      <c r="G174" s="2"/>
      <c r="H174" s="281" t="s">
        <v>37</v>
      </c>
      <c r="I174" s="282" t="s">
        <v>18</v>
      </c>
      <c r="J174" s="3" t="s">
        <v>19</v>
      </c>
      <c r="K174" s="3"/>
    </row>
    <row r="175" spans="1:11" ht="43.2" x14ac:dyDescent="0.3">
      <c r="A175" s="3" t="s">
        <v>464</v>
      </c>
      <c r="B175" s="3" t="str">
        <f>"028245090"</f>
        <v>028245090</v>
      </c>
      <c r="C175" s="3" t="s">
        <v>465</v>
      </c>
      <c r="D175" s="3" t="s">
        <v>466</v>
      </c>
      <c r="E175" s="3" t="s">
        <v>467</v>
      </c>
      <c r="F175" s="2">
        <v>43983</v>
      </c>
      <c r="G175" s="2">
        <v>44166</v>
      </c>
      <c r="H175" s="283" t="s">
        <v>17</v>
      </c>
      <c r="I175" s="3" t="s">
        <v>41</v>
      </c>
      <c r="J175" s="3" t="s">
        <v>19</v>
      </c>
      <c r="K175" s="3"/>
    </row>
    <row r="176" spans="1:11" ht="43.2" x14ac:dyDescent="0.3">
      <c r="A176" s="3" t="s">
        <v>464</v>
      </c>
      <c r="B176" s="3" t="str">
        <f>"028245114"</f>
        <v>028245114</v>
      </c>
      <c r="C176" s="3" t="s">
        <v>465</v>
      </c>
      <c r="D176" s="3" t="s">
        <v>468</v>
      </c>
      <c r="E176" s="3" t="s">
        <v>467</v>
      </c>
      <c r="F176" s="2">
        <v>43983</v>
      </c>
      <c r="G176" s="2">
        <v>44166</v>
      </c>
      <c r="H176" s="284" t="s">
        <v>17</v>
      </c>
      <c r="I176" s="3" t="s">
        <v>41</v>
      </c>
      <c r="J176" s="3" t="s">
        <v>19</v>
      </c>
      <c r="K176" s="3"/>
    </row>
    <row r="177" spans="1:11" ht="43.2" x14ac:dyDescent="0.3">
      <c r="A177" s="3" t="s">
        <v>469</v>
      </c>
      <c r="B177" s="3" t="str">
        <f>"036303016"</f>
        <v>036303016</v>
      </c>
      <c r="C177" s="3" t="s">
        <v>470</v>
      </c>
      <c r="D177" s="3" t="s">
        <v>471</v>
      </c>
      <c r="E177" s="3" t="s">
        <v>412</v>
      </c>
      <c r="F177" s="2">
        <v>42926</v>
      </c>
      <c r="G177" s="2"/>
      <c r="H177" s="285" t="s">
        <v>17</v>
      </c>
      <c r="I177" s="286" t="s">
        <v>18</v>
      </c>
      <c r="J177" s="3" t="s">
        <v>19</v>
      </c>
      <c r="K177" s="3"/>
    </row>
    <row r="178" spans="1:11" ht="43.2" x14ac:dyDescent="0.3">
      <c r="A178" s="3" t="s">
        <v>469</v>
      </c>
      <c r="B178" s="3" t="str">
        <f>"036303028"</f>
        <v>036303028</v>
      </c>
      <c r="C178" s="3" t="s">
        <v>470</v>
      </c>
      <c r="D178" s="3" t="s">
        <v>472</v>
      </c>
      <c r="E178" s="3" t="s">
        <v>412</v>
      </c>
      <c r="F178" s="2">
        <v>42926</v>
      </c>
      <c r="G178" s="2"/>
      <c r="H178" s="287" t="s">
        <v>17</v>
      </c>
      <c r="I178" s="288" t="s">
        <v>18</v>
      </c>
      <c r="J178" s="3" t="s">
        <v>19</v>
      </c>
      <c r="K178" s="3"/>
    </row>
    <row r="179" spans="1:11" ht="43.2" x14ac:dyDescent="0.3">
      <c r="A179" s="3" t="s">
        <v>469</v>
      </c>
      <c r="B179" s="3" t="str">
        <f>"036303030"</f>
        <v>036303030</v>
      </c>
      <c r="C179" s="3" t="s">
        <v>470</v>
      </c>
      <c r="D179" s="3" t="s">
        <v>473</v>
      </c>
      <c r="E179" s="3" t="s">
        <v>412</v>
      </c>
      <c r="F179" s="2">
        <v>42860</v>
      </c>
      <c r="G179" s="2"/>
      <c r="H179" s="289" t="s">
        <v>17</v>
      </c>
      <c r="I179" s="290" t="s">
        <v>18</v>
      </c>
      <c r="J179" s="3" t="s">
        <v>19</v>
      </c>
      <c r="K179" s="3"/>
    </row>
    <row r="180" spans="1:11" ht="43.2" x14ac:dyDescent="0.3">
      <c r="A180" s="3" t="s">
        <v>469</v>
      </c>
      <c r="B180" s="3" t="str">
        <f>"036303042"</f>
        <v>036303042</v>
      </c>
      <c r="C180" s="3" t="s">
        <v>470</v>
      </c>
      <c r="D180" s="3" t="s">
        <v>474</v>
      </c>
      <c r="E180" s="3" t="s">
        <v>412</v>
      </c>
      <c r="F180" s="2">
        <v>42886</v>
      </c>
      <c r="G180" s="2"/>
      <c r="H180" s="291" t="s">
        <v>17</v>
      </c>
      <c r="I180" s="292" t="s">
        <v>18</v>
      </c>
      <c r="J180" s="3" t="s">
        <v>19</v>
      </c>
      <c r="K180" s="3"/>
    </row>
    <row r="181" spans="1:11" ht="43.2" x14ac:dyDescent="0.3">
      <c r="A181" s="3" t="s">
        <v>475</v>
      </c>
      <c r="B181" s="3" t="str">
        <f>"025177027"</f>
        <v>025177027</v>
      </c>
      <c r="C181" s="3" t="s">
        <v>476</v>
      </c>
      <c r="D181" s="3" t="s">
        <v>477</v>
      </c>
      <c r="E181" s="3" t="s">
        <v>191</v>
      </c>
      <c r="F181" s="2">
        <v>43390</v>
      </c>
      <c r="G181" s="2"/>
      <c r="H181" s="293" t="s">
        <v>17</v>
      </c>
      <c r="I181" s="294" t="s">
        <v>18</v>
      </c>
      <c r="J181" s="3" t="s">
        <v>19</v>
      </c>
      <c r="K181" s="3"/>
    </row>
    <row r="182" spans="1:11" ht="57.6" x14ac:dyDescent="0.3">
      <c r="A182" s="3" t="s">
        <v>478</v>
      </c>
      <c r="B182" s="3" t="str">
        <f>"039127028"</f>
        <v>039127028</v>
      </c>
      <c r="C182" s="3" t="s">
        <v>479</v>
      </c>
      <c r="D182" s="3" t="s">
        <v>480</v>
      </c>
      <c r="E182" s="3" t="s">
        <v>481</v>
      </c>
      <c r="F182" s="2">
        <v>43132</v>
      </c>
      <c r="G182" s="2"/>
      <c r="H182" s="295" t="s">
        <v>17</v>
      </c>
      <c r="I182" s="3" t="s">
        <v>41</v>
      </c>
      <c r="J182" s="3" t="s">
        <v>19</v>
      </c>
      <c r="K182" s="3"/>
    </row>
    <row r="183" spans="1:11" ht="43.2" x14ac:dyDescent="0.3">
      <c r="A183" s="3" t="s">
        <v>482</v>
      </c>
      <c r="B183" s="3" t="str">
        <f>"042048025"</f>
        <v>042048025</v>
      </c>
      <c r="C183" s="3" t="s">
        <v>483</v>
      </c>
      <c r="D183" s="3" t="s">
        <v>484</v>
      </c>
      <c r="E183" s="3" t="s">
        <v>463</v>
      </c>
      <c r="F183" s="2">
        <v>43132</v>
      </c>
      <c r="G183" s="2"/>
      <c r="H183" s="296" t="s">
        <v>37</v>
      </c>
      <c r="I183" s="297" t="s">
        <v>18</v>
      </c>
      <c r="J183" s="3" t="s">
        <v>19</v>
      </c>
      <c r="K183" s="3"/>
    </row>
    <row r="184" spans="1:11" ht="43.2" x14ac:dyDescent="0.3">
      <c r="A184" s="3" t="s">
        <v>482</v>
      </c>
      <c r="B184" s="3" t="str">
        <f>"042048013"</f>
        <v>042048013</v>
      </c>
      <c r="C184" s="3" t="s">
        <v>483</v>
      </c>
      <c r="D184" s="3" t="s">
        <v>485</v>
      </c>
      <c r="E184" s="3" t="s">
        <v>463</v>
      </c>
      <c r="F184" s="2">
        <v>43145</v>
      </c>
      <c r="G184" s="2"/>
      <c r="H184" s="298" t="s">
        <v>37</v>
      </c>
      <c r="I184" s="299" t="s">
        <v>18</v>
      </c>
      <c r="J184" s="3" t="s">
        <v>19</v>
      </c>
      <c r="K184" s="3"/>
    </row>
    <row r="185" spans="1:11" ht="43.2" x14ac:dyDescent="0.3">
      <c r="A185" s="3" t="s">
        <v>486</v>
      </c>
      <c r="B185" s="3" t="str">
        <f>"033264019"</f>
        <v>033264019</v>
      </c>
      <c r="C185" s="3" t="s">
        <v>487</v>
      </c>
      <c r="D185" s="3" t="s">
        <v>488</v>
      </c>
      <c r="E185" s="3" t="s">
        <v>489</v>
      </c>
      <c r="F185" s="2">
        <v>43952</v>
      </c>
      <c r="G185" s="2"/>
      <c r="H185" s="300" t="s">
        <v>17</v>
      </c>
      <c r="I185" s="3" t="s">
        <v>38</v>
      </c>
      <c r="J185" s="3" t="s">
        <v>19</v>
      </c>
      <c r="K185" s="3"/>
    </row>
    <row r="186" spans="1:11" ht="43.2" x14ac:dyDescent="0.3">
      <c r="A186" s="3" t="s">
        <v>490</v>
      </c>
      <c r="B186" s="3" t="str">
        <f>"034702011"</f>
        <v>034702011</v>
      </c>
      <c r="C186" s="3" t="s">
        <v>491</v>
      </c>
      <c r="D186" s="3" t="s">
        <v>492</v>
      </c>
      <c r="E186" s="3" t="s">
        <v>493</v>
      </c>
      <c r="F186" s="2">
        <v>40862</v>
      </c>
      <c r="G186" s="2"/>
      <c r="H186" s="301" t="s">
        <v>17</v>
      </c>
      <c r="I186" s="302" t="s">
        <v>18</v>
      </c>
      <c r="J186" s="3" t="s">
        <v>19</v>
      </c>
      <c r="K186" s="3"/>
    </row>
    <row r="187" spans="1:11" ht="43.2" x14ac:dyDescent="0.3">
      <c r="A187" s="3" t="s">
        <v>494</v>
      </c>
      <c r="B187" s="3" t="str">
        <f>"035820442"</f>
        <v>035820442</v>
      </c>
      <c r="C187" s="3" t="s">
        <v>495</v>
      </c>
      <c r="D187" s="3" t="s">
        <v>496</v>
      </c>
      <c r="E187" s="3" t="s">
        <v>438</v>
      </c>
      <c r="F187" s="2">
        <v>42551</v>
      </c>
      <c r="G187" s="2"/>
      <c r="H187" s="303" t="s">
        <v>17</v>
      </c>
      <c r="I187" s="304" t="s">
        <v>18</v>
      </c>
      <c r="J187" s="3" t="s">
        <v>19</v>
      </c>
      <c r="K187" s="3"/>
    </row>
    <row r="188" spans="1:11" ht="43.2" x14ac:dyDescent="0.3">
      <c r="A188" s="3" t="s">
        <v>494</v>
      </c>
      <c r="B188" s="3" t="str">
        <f>"035820430"</f>
        <v>035820430</v>
      </c>
      <c r="C188" s="3" t="s">
        <v>495</v>
      </c>
      <c r="D188" s="3" t="s">
        <v>497</v>
      </c>
      <c r="E188" s="3" t="s">
        <v>438</v>
      </c>
      <c r="F188" s="2">
        <v>44132</v>
      </c>
      <c r="G188" s="2">
        <v>44165</v>
      </c>
      <c r="H188" s="305" t="s">
        <v>17</v>
      </c>
      <c r="I188" s="3" t="s">
        <v>178</v>
      </c>
      <c r="J188" s="3" t="s">
        <v>19</v>
      </c>
      <c r="K188" s="3"/>
    </row>
    <row r="189" spans="1:11" ht="43.2" x14ac:dyDescent="0.3">
      <c r="A189" s="3" t="s">
        <v>498</v>
      </c>
      <c r="B189" s="3" t="str">
        <f>"034254019"</f>
        <v>034254019</v>
      </c>
      <c r="C189" s="3" t="s">
        <v>499</v>
      </c>
      <c r="D189" s="3" t="s">
        <v>500</v>
      </c>
      <c r="E189" s="3" t="s">
        <v>501</v>
      </c>
      <c r="F189" s="2">
        <v>44078</v>
      </c>
      <c r="G189" s="2">
        <v>44196</v>
      </c>
      <c r="H189" s="306" t="s">
        <v>17</v>
      </c>
      <c r="I189" s="307" t="s">
        <v>32</v>
      </c>
      <c r="J189" s="3" t="s">
        <v>19</v>
      </c>
      <c r="K189" s="3"/>
    </row>
    <row r="190" spans="1:11" ht="57.6" x14ac:dyDescent="0.3">
      <c r="A190" s="3" t="s">
        <v>502</v>
      </c>
      <c r="B190" s="3" t="str">
        <f>"033254044"</f>
        <v>033254044</v>
      </c>
      <c r="C190" s="3" t="s">
        <v>503</v>
      </c>
      <c r="D190" s="3" t="s">
        <v>504</v>
      </c>
      <c r="E190" s="3" t="s">
        <v>412</v>
      </c>
      <c r="F190" s="2">
        <v>41606</v>
      </c>
      <c r="G190" s="2"/>
      <c r="H190" s="308" t="s">
        <v>17</v>
      </c>
      <c r="I190" s="309" t="s">
        <v>18</v>
      </c>
      <c r="J190" s="3" t="s">
        <v>19</v>
      </c>
      <c r="K190" s="3"/>
    </row>
    <row r="191" spans="1:11" ht="57.6" x14ac:dyDescent="0.3">
      <c r="A191" s="3" t="s">
        <v>502</v>
      </c>
      <c r="B191" s="3" t="str">
        <f>"033254119"</f>
        <v>033254119</v>
      </c>
      <c r="C191" s="3" t="s">
        <v>503</v>
      </c>
      <c r="D191" s="3" t="s">
        <v>505</v>
      </c>
      <c r="E191" s="3" t="s">
        <v>412</v>
      </c>
      <c r="F191" s="2">
        <v>41481</v>
      </c>
      <c r="G191" s="2"/>
      <c r="H191" s="310" t="s">
        <v>17</v>
      </c>
      <c r="I191" s="311" t="s">
        <v>18</v>
      </c>
      <c r="J191" s="3" t="s">
        <v>19</v>
      </c>
      <c r="K191" s="3"/>
    </row>
    <row r="192" spans="1:11" ht="43.2" x14ac:dyDescent="0.3">
      <c r="A192" s="3" t="s">
        <v>506</v>
      </c>
      <c r="B192" s="3" t="str">
        <f>"044543027"</f>
        <v>044543027</v>
      </c>
      <c r="C192" s="3" t="s">
        <v>507</v>
      </c>
      <c r="D192" s="3" t="s">
        <v>508</v>
      </c>
      <c r="E192" s="3" t="s">
        <v>16</v>
      </c>
      <c r="F192" s="2">
        <v>44153</v>
      </c>
      <c r="G192" s="2">
        <v>44286</v>
      </c>
      <c r="H192" s="312" t="s">
        <v>17</v>
      </c>
      <c r="I192" s="3" t="s">
        <v>41</v>
      </c>
      <c r="J192" s="3" t="s">
        <v>19</v>
      </c>
      <c r="K192" s="3"/>
    </row>
    <row r="193" spans="1:11" ht="57.6" x14ac:dyDescent="0.3">
      <c r="A193" s="3" t="s">
        <v>506</v>
      </c>
      <c r="B193" s="3" t="str">
        <f>"044543080"</f>
        <v>044543080</v>
      </c>
      <c r="C193" s="3" t="s">
        <v>507</v>
      </c>
      <c r="D193" s="3" t="s">
        <v>509</v>
      </c>
      <c r="E193" s="3" t="s">
        <v>16</v>
      </c>
      <c r="F193" s="2">
        <v>44153</v>
      </c>
      <c r="G193" s="2">
        <v>44286</v>
      </c>
      <c r="H193" s="313" t="s">
        <v>17</v>
      </c>
      <c r="I193" s="3" t="s">
        <v>41</v>
      </c>
      <c r="J193" s="3" t="s">
        <v>19</v>
      </c>
      <c r="K193" s="3"/>
    </row>
    <row r="194" spans="1:11" ht="57.6" x14ac:dyDescent="0.3">
      <c r="A194" s="3" t="s">
        <v>506</v>
      </c>
      <c r="B194" s="3" t="str">
        <f>"044543142"</f>
        <v>044543142</v>
      </c>
      <c r="C194" s="3" t="s">
        <v>507</v>
      </c>
      <c r="D194" s="3" t="s">
        <v>510</v>
      </c>
      <c r="E194" s="3" t="s">
        <v>16</v>
      </c>
      <c r="F194" s="2">
        <v>43997</v>
      </c>
      <c r="G194" s="2">
        <v>44196</v>
      </c>
      <c r="H194" s="314" t="s">
        <v>17</v>
      </c>
      <c r="I194" s="3" t="s">
        <v>41</v>
      </c>
      <c r="J194" s="3" t="s">
        <v>19</v>
      </c>
      <c r="K194" s="3"/>
    </row>
    <row r="195" spans="1:11" ht="43.2" x14ac:dyDescent="0.3">
      <c r="A195" s="3" t="s">
        <v>511</v>
      </c>
      <c r="B195" s="3" t="str">
        <f>"044285029"</f>
        <v>044285029</v>
      </c>
      <c r="C195" s="3" t="s">
        <v>507</v>
      </c>
      <c r="D195" s="3" t="s">
        <v>512</v>
      </c>
      <c r="E195" s="3" t="s">
        <v>513</v>
      </c>
      <c r="F195" s="2">
        <v>43949</v>
      </c>
      <c r="G195" s="2">
        <v>44126</v>
      </c>
      <c r="H195" s="315" t="s">
        <v>17</v>
      </c>
      <c r="I195" s="3" t="s">
        <v>41</v>
      </c>
      <c r="J195" s="3" t="s">
        <v>19</v>
      </c>
      <c r="K195" s="3"/>
    </row>
    <row r="196" spans="1:11" ht="57.6" x14ac:dyDescent="0.3">
      <c r="A196" s="3" t="s">
        <v>511</v>
      </c>
      <c r="B196" s="3" t="str">
        <f>"044285056"</f>
        <v>044285056</v>
      </c>
      <c r="C196" s="3" t="s">
        <v>507</v>
      </c>
      <c r="D196" s="3" t="s">
        <v>514</v>
      </c>
      <c r="E196" s="3" t="s">
        <v>513</v>
      </c>
      <c r="F196" s="2">
        <v>43976</v>
      </c>
      <c r="G196" s="2">
        <v>44130</v>
      </c>
      <c r="H196" s="316" t="s">
        <v>17</v>
      </c>
      <c r="I196" s="3" t="s">
        <v>41</v>
      </c>
      <c r="J196" s="3" t="s">
        <v>19</v>
      </c>
      <c r="K196" s="3"/>
    </row>
    <row r="197" spans="1:11" ht="57.6" x14ac:dyDescent="0.3">
      <c r="A197" s="3" t="s">
        <v>511</v>
      </c>
      <c r="B197" s="3" t="str">
        <f>"044285082"</f>
        <v>044285082</v>
      </c>
      <c r="C197" s="3" t="s">
        <v>507</v>
      </c>
      <c r="D197" s="3" t="s">
        <v>515</v>
      </c>
      <c r="E197" s="3" t="s">
        <v>513</v>
      </c>
      <c r="F197" s="2">
        <v>43949</v>
      </c>
      <c r="G197" s="2">
        <v>44126</v>
      </c>
      <c r="H197" s="317" t="s">
        <v>17</v>
      </c>
      <c r="I197" s="3" t="s">
        <v>41</v>
      </c>
      <c r="J197" s="3" t="s">
        <v>19</v>
      </c>
      <c r="K197" s="3"/>
    </row>
    <row r="198" spans="1:11" ht="57.6" x14ac:dyDescent="0.3">
      <c r="A198" s="3" t="s">
        <v>516</v>
      </c>
      <c r="B198" s="3" t="str">
        <f>"043565175"</f>
        <v>043565175</v>
      </c>
      <c r="C198" s="3" t="s">
        <v>507</v>
      </c>
      <c r="D198" s="3" t="s">
        <v>517</v>
      </c>
      <c r="E198" s="3" t="s">
        <v>518</v>
      </c>
      <c r="F198" s="2">
        <v>44022</v>
      </c>
      <c r="G198" s="2"/>
      <c r="H198" s="318" t="s">
        <v>17</v>
      </c>
      <c r="I198" s="319" t="s">
        <v>18</v>
      </c>
      <c r="J198" s="3" t="s">
        <v>19</v>
      </c>
      <c r="K198" s="3"/>
    </row>
    <row r="199" spans="1:11" ht="57.6" x14ac:dyDescent="0.3">
      <c r="A199" s="3" t="s">
        <v>516</v>
      </c>
      <c r="B199" s="3" t="str">
        <f>"043565249"</f>
        <v>043565249</v>
      </c>
      <c r="C199" s="3" t="s">
        <v>507</v>
      </c>
      <c r="D199" s="3" t="s">
        <v>519</v>
      </c>
      <c r="E199" s="3" t="s">
        <v>518</v>
      </c>
      <c r="F199" s="2">
        <v>44166</v>
      </c>
      <c r="G199" s="2"/>
      <c r="H199" s="320" t="s">
        <v>17</v>
      </c>
      <c r="I199" s="321" t="s">
        <v>18</v>
      </c>
      <c r="J199" s="3" t="s">
        <v>19</v>
      </c>
      <c r="K199" s="3"/>
    </row>
    <row r="200" spans="1:11" ht="86.4" x14ac:dyDescent="0.3">
      <c r="A200" s="3" t="s">
        <v>520</v>
      </c>
      <c r="B200" s="3" t="str">
        <f>"043743069"</f>
        <v>043743069</v>
      </c>
      <c r="C200" s="3" t="s">
        <v>507</v>
      </c>
      <c r="D200" s="3" t="s">
        <v>521</v>
      </c>
      <c r="E200" s="3" t="s">
        <v>27</v>
      </c>
      <c r="F200" s="2">
        <v>44011</v>
      </c>
      <c r="G200" s="2">
        <v>44196</v>
      </c>
      <c r="H200" s="322" t="s">
        <v>17</v>
      </c>
      <c r="I200" s="3" t="s">
        <v>41</v>
      </c>
      <c r="J200" s="3" t="s">
        <v>19</v>
      </c>
      <c r="K200" s="3" t="s">
        <v>522</v>
      </c>
    </row>
    <row r="201" spans="1:11" ht="86.4" x14ac:dyDescent="0.3">
      <c r="A201" s="3" t="s">
        <v>520</v>
      </c>
      <c r="B201" s="3" t="str">
        <f>"043743208"</f>
        <v>043743208</v>
      </c>
      <c r="C201" s="3" t="s">
        <v>507</v>
      </c>
      <c r="D201" s="3" t="s">
        <v>523</v>
      </c>
      <c r="E201" s="3" t="s">
        <v>27</v>
      </c>
      <c r="F201" s="2">
        <v>44058</v>
      </c>
      <c r="G201" s="2">
        <v>44196</v>
      </c>
      <c r="H201" s="323" t="s">
        <v>17</v>
      </c>
      <c r="I201" s="3" t="s">
        <v>41</v>
      </c>
      <c r="J201" s="3" t="s">
        <v>19</v>
      </c>
      <c r="K201" s="3" t="s">
        <v>524</v>
      </c>
    </row>
    <row r="202" spans="1:11" ht="43.2" x14ac:dyDescent="0.3">
      <c r="A202" s="3" t="s">
        <v>520</v>
      </c>
      <c r="B202" s="3" t="str">
        <f>"043743347"</f>
        <v>043743347</v>
      </c>
      <c r="C202" s="3" t="s">
        <v>507</v>
      </c>
      <c r="D202" s="3" t="s">
        <v>525</v>
      </c>
      <c r="E202" s="3" t="s">
        <v>27</v>
      </c>
      <c r="F202" s="2">
        <v>44112</v>
      </c>
      <c r="G202" s="2">
        <v>44196</v>
      </c>
      <c r="H202" s="324" t="s">
        <v>17</v>
      </c>
      <c r="I202" s="3" t="s">
        <v>526</v>
      </c>
      <c r="J202" s="3" t="s">
        <v>19</v>
      </c>
      <c r="K202" s="3"/>
    </row>
    <row r="203" spans="1:11" ht="86.4" x14ac:dyDescent="0.3">
      <c r="A203" s="3" t="s">
        <v>527</v>
      </c>
      <c r="B203" s="3" t="str">
        <f>"043732155"</f>
        <v>043732155</v>
      </c>
      <c r="C203" s="3" t="s">
        <v>507</v>
      </c>
      <c r="D203" s="3" t="s">
        <v>528</v>
      </c>
      <c r="E203" s="3" t="s">
        <v>27</v>
      </c>
      <c r="F203" s="2">
        <v>44140</v>
      </c>
      <c r="G203" s="2">
        <v>44196</v>
      </c>
      <c r="H203" s="325" t="s">
        <v>17</v>
      </c>
      <c r="I203" s="3" t="s">
        <v>41</v>
      </c>
      <c r="J203" s="3" t="s">
        <v>19</v>
      </c>
      <c r="K203" s="3" t="s">
        <v>529</v>
      </c>
    </row>
    <row r="204" spans="1:11" ht="43.2" x14ac:dyDescent="0.3">
      <c r="A204" s="3" t="s">
        <v>527</v>
      </c>
      <c r="B204" s="3" t="str">
        <f>"043732039"</f>
        <v>043732039</v>
      </c>
      <c r="C204" s="3" t="s">
        <v>507</v>
      </c>
      <c r="D204" s="3" t="s">
        <v>530</v>
      </c>
      <c r="E204" s="3" t="s">
        <v>27</v>
      </c>
      <c r="F204" s="2">
        <v>44055</v>
      </c>
      <c r="G204" s="2">
        <v>44196</v>
      </c>
      <c r="H204" s="326" t="s">
        <v>17</v>
      </c>
      <c r="I204" s="3" t="s">
        <v>526</v>
      </c>
      <c r="J204" s="3" t="s">
        <v>19</v>
      </c>
      <c r="K204" s="3"/>
    </row>
    <row r="205" spans="1:11" ht="43.2" x14ac:dyDescent="0.3">
      <c r="A205" s="3" t="s">
        <v>531</v>
      </c>
      <c r="B205" s="3" t="str">
        <f>"026672079"</f>
        <v>026672079</v>
      </c>
      <c r="C205" s="3" t="s">
        <v>532</v>
      </c>
      <c r="D205" s="3" t="s">
        <v>533</v>
      </c>
      <c r="E205" s="3" t="s">
        <v>307</v>
      </c>
      <c r="F205" s="2">
        <v>44027</v>
      </c>
      <c r="G205" s="2"/>
      <c r="H205" s="327" t="s">
        <v>17</v>
      </c>
      <c r="I205" s="328" t="s">
        <v>18</v>
      </c>
      <c r="J205" s="3" t="s">
        <v>19</v>
      </c>
      <c r="K205" s="3"/>
    </row>
    <row r="206" spans="1:11" ht="43.2" x14ac:dyDescent="0.3">
      <c r="A206" s="3" t="s">
        <v>531</v>
      </c>
      <c r="B206" s="3" t="str">
        <f>"026672081"</f>
        <v>026672081</v>
      </c>
      <c r="C206" s="3" t="s">
        <v>532</v>
      </c>
      <c r="D206" s="3" t="s">
        <v>534</v>
      </c>
      <c r="E206" s="3" t="s">
        <v>307</v>
      </c>
      <c r="F206" s="2">
        <v>44027</v>
      </c>
      <c r="G206" s="2"/>
      <c r="H206" s="329" t="s">
        <v>17</v>
      </c>
      <c r="I206" s="330" t="s">
        <v>18</v>
      </c>
      <c r="J206" s="3" t="s">
        <v>19</v>
      </c>
      <c r="K206" s="3"/>
    </row>
    <row r="207" spans="1:11" ht="43.2" x14ac:dyDescent="0.3">
      <c r="A207" s="3" t="s">
        <v>535</v>
      </c>
      <c r="B207" s="3" t="str">
        <f>"041722024"</f>
        <v>041722024</v>
      </c>
      <c r="C207" s="3" t="s">
        <v>536</v>
      </c>
      <c r="D207" s="3" t="s">
        <v>537</v>
      </c>
      <c r="E207" s="3" t="s">
        <v>538</v>
      </c>
      <c r="F207" s="2">
        <v>43395</v>
      </c>
      <c r="G207" s="2"/>
      <c r="H207" s="331" t="s">
        <v>17</v>
      </c>
      <c r="I207" s="3" t="s">
        <v>41</v>
      </c>
      <c r="J207" s="3" t="s">
        <v>19</v>
      </c>
      <c r="K207" s="3"/>
    </row>
    <row r="208" spans="1:11" ht="43.2" x14ac:dyDescent="0.3">
      <c r="A208" s="3" t="s">
        <v>535</v>
      </c>
      <c r="B208" s="3" t="str">
        <f>"041722048"</f>
        <v>041722048</v>
      </c>
      <c r="C208" s="3" t="s">
        <v>536</v>
      </c>
      <c r="D208" s="3" t="s">
        <v>539</v>
      </c>
      <c r="E208" s="3" t="s">
        <v>538</v>
      </c>
      <c r="F208" s="2">
        <v>43395</v>
      </c>
      <c r="G208" s="2"/>
      <c r="H208" s="332" t="s">
        <v>17</v>
      </c>
      <c r="I208" s="3" t="s">
        <v>41</v>
      </c>
      <c r="J208" s="3" t="s">
        <v>19</v>
      </c>
      <c r="K208" s="3"/>
    </row>
    <row r="209" spans="1:11" ht="43.2" x14ac:dyDescent="0.3">
      <c r="A209" s="3" t="s">
        <v>535</v>
      </c>
      <c r="B209" s="3" t="str">
        <f>"041722051"</f>
        <v>041722051</v>
      </c>
      <c r="C209" s="3" t="s">
        <v>536</v>
      </c>
      <c r="D209" s="3" t="s">
        <v>540</v>
      </c>
      <c r="E209" s="3" t="s">
        <v>538</v>
      </c>
      <c r="F209" s="2">
        <v>43395</v>
      </c>
      <c r="G209" s="2"/>
      <c r="H209" s="333" t="s">
        <v>17</v>
      </c>
      <c r="I209" s="3" t="s">
        <v>41</v>
      </c>
      <c r="J209" s="3" t="s">
        <v>19</v>
      </c>
      <c r="K209" s="3"/>
    </row>
    <row r="210" spans="1:11" ht="43.2" x14ac:dyDescent="0.3">
      <c r="A210" s="3" t="s">
        <v>541</v>
      </c>
      <c r="B210" s="3" t="str">
        <f>"027122100"</f>
        <v>027122100</v>
      </c>
      <c r="C210" s="3" t="s">
        <v>499</v>
      </c>
      <c r="D210" s="3" t="s">
        <v>542</v>
      </c>
      <c r="E210" s="3" t="s">
        <v>543</v>
      </c>
      <c r="F210" s="2">
        <v>41701</v>
      </c>
      <c r="G210" s="2"/>
      <c r="H210" s="334" t="s">
        <v>17</v>
      </c>
      <c r="I210" s="335" t="s">
        <v>18</v>
      </c>
      <c r="J210" s="3" t="s">
        <v>19</v>
      </c>
      <c r="K210" s="3"/>
    </row>
    <row r="211" spans="1:11" ht="43.2" x14ac:dyDescent="0.3">
      <c r="A211" s="3" t="s">
        <v>544</v>
      </c>
      <c r="B211" s="3" t="str">
        <f>"034298024"</f>
        <v>034298024</v>
      </c>
      <c r="C211" s="3" t="s">
        <v>499</v>
      </c>
      <c r="D211" s="3" t="s">
        <v>545</v>
      </c>
      <c r="E211" s="3" t="s">
        <v>546</v>
      </c>
      <c r="F211" s="2">
        <v>44211</v>
      </c>
      <c r="G211" s="2">
        <v>44270</v>
      </c>
      <c r="H211" s="336" t="s">
        <v>17</v>
      </c>
      <c r="I211" s="3" t="s">
        <v>41</v>
      </c>
      <c r="J211" s="3" t="s">
        <v>19</v>
      </c>
      <c r="K211" s="3"/>
    </row>
    <row r="212" spans="1:11" ht="43.2" x14ac:dyDescent="0.3">
      <c r="A212" s="3" t="s">
        <v>544</v>
      </c>
      <c r="B212" s="3" t="str">
        <f>"034298036"</f>
        <v>034298036</v>
      </c>
      <c r="C212" s="3" t="s">
        <v>499</v>
      </c>
      <c r="D212" s="3" t="s">
        <v>547</v>
      </c>
      <c r="E212" s="3" t="s">
        <v>546</v>
      </c>
      <c r="F212" s="2">
        <v>43525</v>
      </c>
      <c r="G212" s="2"/>
      <c r="H212" s="337" t="s">
        <v>17</v>
      </c>
      <c r="I212" s="338" t="s">
        <v>18</v>
      </c>
      <c r="J212" s="3" t="s">
        <v>19</v>
      </c>
      <c r="K212" s="3"/>
    </row>
    <row r="213" spans="1:11" ht="43.2" x14ac:dyDescent="0.3">
      <c r="A213" s="3" t="s">
        <v>544</v>
      </c>
      <c r="B213" s="3" t="str">
        <f>"034298048"</f>
        <v>034298048</v>
      </c>
      <c r="C213" s="3" t="s">
        <v>499</v>
      </c>
      <c r="D213" s="3" t="s">
        <v>548</v>
      </c>
      <c r="E213" s="3" t="s">
        <v>546</v>
      </c>
      <c r="F213" s="2">
        <v>43891</v>
      </c>
      <c r="G213" s="2"/>
      <c r="H213" s="339" t="s">
        <v>17</v>
      </c>
      <c r="I213" s="340" t="s">
        <v>18</v>
      </c>
      <c r="J213" s="3" t="s">
        <v>19</v>
      </c>
      <c r="K213" s="3"/>
    </row>
    <row r="214" spans="1:11" ht="43.2" x14ac:dyDescent="0.3">
      <c r="A214" s="3" t="s">
        <v>549</v>
      </c>
      <c r="B214" s="3" t="str">
        <f>"035356043"</f>
        <v>035356043</v>
      </c>
      <c r="C214" s="3" t="s">
        <v>499</v>
      </c>
      <c r="D214" s="3" t="s">
        <v>550</v>
      </c>
      <c r="E214" s="3" t="s">
        <v>270</v>
      </c>
      <c r="F214" s="2">
        <v>41803</v>
      </c>
      <c r="G214" s="2"/>
      <c r="H214" s="341" t="s">
        <v>17</v>
      </c>
      <c r="I214" s="342" t="s">
        <v>18</v>
      </c>
      <c r="J214" s="3" t="s">
        <v>19</v>
      </c>
      <c r="K214" s="3"/>
    </row>
    <row r="215" spans="1:11" ht="43.2" x14ac:dyDescent="0.3">
      <c r="A215" s="3" t="s">
        <v>549</v>
      </c>
      <c r="B215" s="3" t="str">
        <f>"035356031"</f>
        <v>035356031</v>
      </c>
      <c r="C215" s="3" t="s">
        <v>499</v>
      </c>
      <c r="D215" s="3" t="s">
        <v>551</v>
      </c>
      <c r="E215" s="3" t="s">
        <v>270</v>
      </c>
      <c r="F215" s="2">
        <v>41803</v>
      </c>
      <c r="G215" s="2"/>
      <c r="H215" s="343" t="s">
        <v>17</v>
      </c>
      <c r="I215" s="344" t="s">
        <v>18</v>
      </c>
      <c r="J215" s="3" t="s">
        <v>19</v>
      </c>
      <c r="K215" s="3"/>
    </row>
    <row r="216" spans="1:11" ht="43.2" x14ac:dyDescent="0.3">
      <c r="A216" s="3" t="s">
        <v>549</v>
      </c>
      <c r="B216" s="3" t="str">
        <f>"035356056"</f>
        <v>035356056</v>
      </c>
      <c r="C216" s="3" t="s">
        <v>499</v>
      </c>
      <c r="D216" s="3" t="s">
        <v>552</v>
      </c>
      <c r="E216" s="3" t="s">
        <v>270</v>
      </c>
      <c r="F216" s="2">
        <v>41803</v>
      </c>
      <c r="G216" s="2"/>
      <c r="H216" s="345" t="s">
        <v>17</v>
      </c>
      <c r="I216" s="346" t="s">
        <v>18</v>
      </c>
      <c r="J216" s="3" t="s">
        <v>19</v>
      </c>
      <c r="K216" s="3"/>
    </row>
    <row r="217" spans="1:11" ht="43.2" x14ac:dyDescent="0.3">
      <c r="A217" s="3" t="s">
        <v>553</v>
      </c>
      <c r="B217" s="3" t="str">
        <f>"032264020"</f>
        <v>032264020</v>
      </c>
      <c r="C217" s="3" t="s">
        <v>554</v>
      </c>
      <c r="D217" s="3" t="s">
        <v>555</v>
      </c>
      <c r="E217" s="3" t="s">
        <v>456</v>
      </c>
      <c r="F217" s="2">
        <v>43132</v>
      </c>
      <c r="G217" s="2"/>
      <c r="H217" s="347" t="s">
        <v>37</v>
      </c>
      <c r="I217" s="348" t="s">
        <v>18</v>
      </c>
      <c r="J217" s="3" t="s">
        <v>19</v>
      </c>
      <c r="K217" s="3"/>
    </row>
    <row r="218" spans="1:11" ht="43.2" x14ac:dyDescent="0.3">
      <c r="A218" s="3" t="s">
        <v>556</v>
      </c>
      <c r="B218" s="3" t="str">
        <f>"036685028"</f>
        <v>036685028</v>
      </c>
      <c r="C218" s="3" t="s">
        <v>557</v>
      </c>
      <c r="D218" s="3" t="s">
        <v>558</v>
      </c>
      <c r="E218" s="3" t="s">
        <v>438</v>
      </c>
      <c r="F218" s="2">
        <v>43976</v>
      </c>
      <c r="G218" s="2"/>
      <c r="H218" s="349" t="s">
        <v>37</v>
      </c>
      <c r="I218" s="3" t="s">
        <v>41</v>
      </c>
      <c r="J218" s="3" t="s">
        <v>19</v>
      </c>
      <c r="K218" s="3"/>
    </row>
    <row r="219" spans="1:11" ht="43.2" x14ac:dyDescent="0.3">
      <c r="A219" s="3" t="s">
        <v>556</v>
      </c>
      <c r="B219" s="3" t="str">
        <f>"036685042"</f>
        <v>036685042</v>
      </c>
      <c r="C219" s="3" t="s">
        <v>557</v>
      </c>
      <c r="D219" s="3" t="s">
        <v>559</v>
      </c>
      <c r="E219" s="3" t="s">
        <v>438</v>
      </c>
      <c r="F219" s="2">
        <v>43997</v>
      </c>
      <c r="G219" s="2"/>
      <c r="H219" s="350" t="s">
        <v>37</v>
      </c>
      <c r="I219" s="3" t="s">
        <v>41</v>
      </c>
      <c r="J219" s="3" t="s">
        <v>19</v>
      </c>
      <c r="K219" s="3"/>
    </row>
    <row r="220" spans="1:11" ht="43.2" x14ac:dyDescent="0.3">
      <c r="A220" s="3" t="s">
        <v>560</v>
      </c>
      <c r="B220" s="3" t="str">
        <f>"041962010"</f>
        <v>041962010</v>
      </c>
      <c r="C220" s="3" t="s">
        <v>561</v>
      </c>
      <c r="D220" s="3" t="s">
        <v>562</v>
      </c>
      <c r="E220" s="3" t="s">
        <v>151</v>
      </c>
      <c r="F220" s="2">
        <v>44207</v>
      </c>
      <c r="G220" s="2">
        <v>44256</v>
      </c>
      <c r="H220" s="351" t="s">
        <v>17</v>
      </c>
      <c r="I220" s="3" t="s">
        <v>41</v>
      </c>
      <c r="J220" s="3" t="s">
        <v>19</v>
      </c>
      <c r="K220" s="3"/>
    </row>
    <row r="221" spans="1:11" ht="43.2" x14ac:dyDescent="0.3">
      <c r="A221" s="3" t="s">
        <v>563</v>
      </c>
      <c r="B221" s="3" t="str">
        <f>"047001021"</f>
        <v>047001021</v>
      </c>
      <c r="C221" s="3" t="s">
        <v>564</v>
      </c>
      <c r="D221" s="3" t="s">
        <v>565</v>
      </c>
      <c r="E221" s="3" t="s">
        <v>24</v>
      </c>
      <c r="F221" s="2">
        <v>44286</v>
      </c>
      <c r="G221" s="2"/>
      <c r="H221" s="352" t="s">
        <v>17</v>
      </c>
      <c r="I221" s="353" t="s">
        <v>18</v>
      </c>
      <c r="J221" s="3" t="s">
        <v>19</v>
      </c>
      <c r="K221" s="3"/>
    </row>
    <row r="222" spans="1:11" ht="43.2" x14ac:dyDescent="0.3">
      <c r="A222" s="3" t="s">
        <v>563</v>
      </c>
      <c r="B222" s="3" t="str">
        <f>"047001060"</f>
        <v>047001060</v>
      </c>
      <c r="C222" s="3" t="s">
        <v>564</v>
      </c>
      <c r="D222" s="3" t="s">
        <v>566</v>
      </c>
      <c r="E222" s="3" t="s">
        <v>24</v>
      </c>
      <c r="F222" s="2">
        <v>44286</v>
      </c>
      <c r="G222" s="2"/>
      <c r="H222" s="354" t="s">
        <v>17</v>
      </c>
      <c r="I222" s="355" t="s">
        <v>18</v>
      </c>
      <c r="J222" s="3" t="s">
        <v>19</v>
      </c>
      <c r="K222" s="3"/>
    </row>
    <row r="223" spans="1:11" ht="43.2" x14ac:dyDescent="0.3">
      <c r="A223" s="3" t="s">
        <v>567</v>
      </c>
      <c r="B223" s="3" t="str">
        <f>"045061140"</f>
        <v>045061140</v>
      </c>
      <c r="C223" s="3" t="s">
        <v>564</v>
      </c>
      <c r="D223" s="3" t="s">
        <v>568</v>
      </c>
      <c r="E223" s="3" t="s">
        <v>513</v>
      </c>
      <c r="F223" s="2">
        <v>44112</v>
      </c>
      <c r="G223" s="2">
        <v>44165</v>
      </c>
      <c r="H223" s="356" t="s">
        <v>17</v>
      </c>
      <c r="I223" s="3" t="s">
        <v>41</v>
      </c>
      <c r="J223" s="3" t="s">
        <v>19</v>
      </c>
      <c r="K223" s="3"/>
    </row>
    <row r="224" spans="1:11" ht="43.2" x14ac:dyDescent="0.3">
      <c r="A224" s="3" t="s">
        <v>569</v>
      </c>
      <c r="B224" s="3" t="str">
        <f>"025987037"</f>
        <v>025987037</v>
      </c>
      <c r="C224" s="3" t="s">
        <v>570</v>
      </c>
      <c r="D224" s="3" t="s">
        <v>571</v>
      </c>
      <c r="E224" s="3" t="s">
        <v>572</v>
      </c>
      <c r="F224" s="2">
        <v>44196</v>
      </c>
      <c r="G224" s="2">
        <v>44562</v>
      </c>
      <c r="H224" s="357" t="s">
        <v>17</v>
      </c>
      <c r="I224" s="358" t="s">
        <v>32</v>
      </c>
      <c r="J224" s="3" t="s">
        <v>19</v>
      </c>
      <c r="K224" s="3"/>
    </row>
    <row r="225" spans="1:11" ht="57.6" x14ac:dyDescent="0.3">
      <c r="A225" s="3" t="s">
        <v>573</v>
      </c>
      <c r="B225" s="3" t="str">
        <f>"005713019"</f>
        <v>005713019</v>
      </c>
      <c r="C225" s="3" t="s">
        <v>574</v>
      </c>
      <c r="D225" s="3" t="s">
        <v>575</v>
      </c>
      <c r="E225" s="3" t="s">
        <v>576</v>
      </c>
      <c r="F225" s="2">
        <v>44287</v>
      </c>
      <c r="G225" s="2"/>
      <c r="H225" s="359" t="s">
        <v>37</v>
      </c>
      <c r="I225" s="360" t="s">
        <v>32</v>
      </c>
      <c r="J225" s="3" t="s">
        <v>156</v>
      </c>
      <c r="K225" s="3"/>
    </row>
    <row r="226" spans="1:11" ht="43.2" x14ac:dyDescent="0.3">
      <c r="A226" s="3" t="s">
        <v>577</v>
      </c>
      <c r="B226" s="3" t="str">
        <f>"042978015"</f>
        <v>042978015</v>
      </c>
      <c r="C226" s="3" t="s">
        <v>578</v>
      </c>
      <c r="D226" s="3" t="s">
        <v>579</v>
      </c>
      <c r="E226" s="3" t="s">
        <v>83</v>
      </c>
      <c r="F226" s="2">
        <v>44135</v>
      </c>
      <c r="G226" s="2"/>
      <c r="H226" s="361" t="s">
        <v>17</v>
      </c>
      <c r="I226" s="3" t="s">
        <v>41</v>
      </c>
      <c r="J226" s="3" t="s">
        <v>19</v>
      </c>
      <c r="K226" s="3"/>
    </row>
    <row r="227" spans="1:11" ht="43.2" x14ac:dyDescent="0.3">
      <c r="A227" s="3" t="s">
        <v>577</v>
      </c>
      <c r="B227" s="3" t="str">
        <f>"042978039"</f>
        <v>042978039</v>
      </c>
      <c r="C227" s="3" t="s">
        <v>578</v>
      </c>
      <c r="D227" s="3" t="s">
        <v>580</v>
      </c>
      <c r="E227" s="3" t="s">
        <v>83</v>
      </c>
      <c r="F227" s="2">
        <v>43992</v>
      </c>
      <c r="G227" s="2"/>
      <c r="H227" s="362" t="s">
        <v>17</v>
      </c>
      <c r="I227" s="3" t="s">
        <v>178</v>
      </c>
      <c r="J227" s="3" t="s">
        <v>19</v>
      </c>
      <c r="K227" s="3"/>
    </row>
    <row r="228" spans="1:11" ht="43.2" x14ac:dyDescent="0.3">
      <c r="A228" s="3" t="s">
        <v>581</v>
      </c>
      <c r="B228" s="3" t="str">
        <f>"040678245"</f>
        <v>040678245</v>
      </c>
      <c r="C228" s="3" t="s">
        <v>578</v>
      </c>
      <c r="D228" s="3" t="s">
        <v>582</v>
      </c>
      <c r="E228" s="3" t="s">
        <v>64</v>
      </c>
      <c r="F228" s="2">
        <v>41618</v>
      </c>
      <c r="G228" s="2"/>
      <c r="H228" s="363" t="s">
        <v>17</v>
      </c>
      <c r="I228" s="364" t="s">
        <v>18</v>
      </c>
      <c r="J228" s="3" t="s">
        <v>19</v>
      </c>
      <c r="K228" s="3"/>
    </row>
    <row r="229" spans="1:11" ht="43.2" x14ac:dyDescent="0.3">
      <c r="A229" s="3" t="s">
        <v>581</v>
      </c>
      <c r="B229" s="3" t="str">
        <f>"040678171"</f>
        <v>040678171</v>
      </c>
      <c r="C229" s="3" t="s">
        <v>578</v>
      </c>
      <c r="D229" s="3" t="s">
        <v>583</v>
      </c>
      <c r="E229" s="3" t="s">
        <v>64</v>
      </c>
      <c r="F229" s="2">
        <v>41851</v>
      </c>
      <c r="G229" s="2"/>
      <c r="H229" s="365" t="s">
        <v>17</v>
      </c>
      <c r="I229" s="366" t="s">
        <v>18</v>
      </c>
      <c r="J229" s="3" t="s">
        <v>19</v>
      </c>
      <c r="K229" s="3"/>
    </row>
    <row r="230" spans="1:11" ht="43.2" x14ac:dyDescent="0.3">
      <c r="A230" s="3" t="s">
        <v>581</v>
      </c>
      <c r="B230" s="3" t="str">
        <f>"040678106"</f>
        <v>040678106</v>
      </c>
      <c r="C230" s="3" t="s">
        <v>578</v>
      </c>
      <c r="D230" s="3" t="s">
        <v>584</v>
      </c>
      <c r="E230" s="3" t="s">
        <v>64</v>
      </c>
      <c r="F230" s="2">
        <v>41790</v>
      </c>
      <c r="G230" s="2"/>
      <c r="H230" s="367" t="s">
        <v>17</v>
      </c>
      <c r="I230" s="368" t="s">
        <v>18</v>
      </c>
      <c r="J230" s="3" t="s">
        <v>19</v>
      </c>
      <c r="K230" s="3"/>
    </row>
    <row r="231" spans="1:11" ht="43.2" x14ac:dyDescent="0.3">
      <c r="A231" s="3" t="s">
        <v>581</v>
      </c>
      <c r="B231" s="3" t="str">
        <f>"040678031"</f>
        <v>040678031</v>
      </c>
      <c r="C231" s="3" t="s">
        <v>578</v>
      </c>
      <c r="D231" s="3" t="s">
        <v>585</v>
      </c>
      <c r="E231" s="3" t="s">
        <v>64</v>
      </c>
      <c r="F231" s="2">
        <v>41474</v>
      </c>
      <c r="G231" s="2"/>
      <c r="H231" s="369" t="s">
        <v>17</v>
      </c>
      <c r="I231" s="370" t="s">
        <v>18</v>
      </c>
      <c r="J231" s="3" t="s">
        <v>19</v>
      </c>
      <c r="K231" s="3"/>
    </row>
    <row r="232" spans="1:11" ht="43.2" x14ac:dyDescent="0.3">
      <c r="A232" s="3" t="s">
        <v>581</v>
      </c>
      <c r="B232" s="3" t="str">
        <f>"040678310"</f>
        <v>040678310</v>
      </c>
      <c r="C232" s="3" t="s">
        <v>578</v>
      </c>
      <c r="D232" s="3" t="s">
        <v>586</v>
      </c>
      <c r="E232" s="3" t="s">
        <v>64</v>
      </c>
      <c r="F232" s="2">
        <v>44075</v>
      </c>
      <c r="G232" s="2"/>
      <c r="H232" s="371" t="s">
        <v>17</v>
      </c>
      <c r="I232" s="3" t="s">
        <v>41</v>
      </c>
      <c r="J232" s="3" t="s">
        <v>19</v>
      </c>
      <c r="K232" s="3"/>
    </row>
    <row r="233" spans="1:11" ht="43.2" x14ac:dyDescent="0.3">
      <c r="A233" s="3" t="s">
        <v>581</v>
      </c>
      <c r="B233" s="3" t="str">
        <f>"040678385"</f>
        <v>040678385</v>
      </c>
      <c r="C233" s="3" t="s">
        <v>578</v>
      </c>
      <c r="D233" s="3" t="s">
        <v>587</v>
      </c>
      <c r="E233" s="3" t="s">
        <v>64</v>
      </c>
      <c r="F233" s="2">
        <v>44200</v>
      </c>
      <c r="G233" s="2"/>
      <c r="H233" s="372" t="s">
        <v>17</v>
      </c>
      <c r="I233" s="3" t="s">
        <v>41</v>
      </c>
      <c r="J233" s="3" t="s">
        <v>19</v>
      </c>
      <c r="K233" s="3"/>
    </row>
    <row r="234" spans="1:11" ht="43.2" x14ac:dyDescent="0.3">
      <c r="A234" s="3" t="s">
        <v>581</v>
      </c>
      <c r="B234" s="3" t="str">
        <f>"040678450"</f>
        <v>040678450</v>
      </c>
      <c r="C234" s="3" t="s">
        <v>578</v>
      </c>
      <c r="D234" s="3" t="s">
        <v>588</v>
      </c>
      <c r="E234" s="3" t="s">
        <v>64</v>
      </c>
      <c r="F234" s="2">
        <v>44044</v>
      </c>
      <c r="G234" s="2"/>
      <c r="H234" s="373" t="s">
        <v>17</v>
      </c>
      <c r="I234" s="3" t="s">
        <v>41</v>
      </c>
      <c r="J234" s="3" t="s">
        <v>19</v>
      </c>
      <c r="K234" s="3"/>
    </row>
    <row r="235" spans="1:11" ht="43.2" x14ac:dyDescent="0.3">
      <c r="A235" s="3" t="s">
        <v>581</v>
      </c>
      <c r="B235" s="3" t="str">
        <f>"040678524"</f>
        <v>040678524</v>
      </c>
      <c r="C235" s="3" t="s">
        <v>578</v>
      </c>
      <c r="D235" s="3" t="s">
        <v>589</v>
      </c>
      <c r="E235" s="3" t="s">
        <v>64</v>
      </c>
      <c r="F235" s="2">
        <v>44044</v>
      </c>
      <c r="G235" s="2"/>
      <c r="H235" s="374" t="s">
        <v>17</v>
      </c>
      <c r="I235" s="3" t="s">
        <v>41</v>
      </c>
      <c r="J235" s="3" t="s">
        <v>19</v>
      </c>
      <c r="K235" s="3"/>
    </row>
    <row r="236" spans="1:11" ht="43.2" x14ac:dyDescent="0.3">
      <c r="A236" s="3" t="s">
        <v>590</v>
      </c>
      <c r="B236" s="3" t="str">
        <f>"043543141"</f>
        <v>043543141</v>
      </c>
      <c r="C236" s="3" t="s">
        <v>591</v>
      </c>
      <c r="D236" s="3" t="s">
        <v>592</v>
      </c>
      <c r="E236" s="3" t="s">
        <v>438</v>
      </c>
      <c r="F236" s="2">
        <v>43542</v>
      </c>
      <c r="G236" s="2"/>
      <c r="H236" s="375" t="s">
        <v>17</v>
      </c>
      <c r="I236" s="3" t="s">
        <v>41</v>
      </c>
      <c r="J236" s="3" t="s">
        <v>19</v>
      </c>
      <c r="K236" s="3"/>
    </row>
    <row r="237" spans="1:11" ht="172.8" x14ac:dyDescent="0.3">
      <c r="A237" s="3" t="s">
        <v>593</v>
      </c>
      <c r="B237" s="3" t="str">
        <f>"035640046"</f>
        <v>035640046</v>
      </c>
      <c r="C237" s="3" t="s">
        <v>145</v>
      </c>
      <c r="D237" s="3" t="s">
        <v>594</v>
      </c>
      <c r="E237" s="3" t="s">
        <v>595</v>
      </c>
      <c r="F237" s="2">
        <v>43921</v>
      </c>
      <c r="G237" s="2">
        <v>44013</v>
      </c>
      <c r="H237" s="376" t="s">
        <v>17</v>
      </c>
      <c r="I237" s="3" t="s">
        <v>178</v>
      </c>
      <c r="J237" s="3" t="s">
        <v>240</v>
      </c>
      <c r="K237" s="3" t="s">
        <v>596</v>
      </c>
    </row>
    <row r="238" spans="1:11" ht="43.2" x14ac:dyDescent="0.3">
      <c r="A238" s="3" t="s">
        <v>597</v>
      </c>
      <c r="B238" s="3" t="str">
        <f>"000307037"</f>
        <v>000307037</v>
      </c>
      <c r="C238" s="3" t="s">
        <v>598</v>
      </c>
      <c r="D238" s="3" t="s">
        <v>599</v>
      </c>
      <c r="E238" s="3" t="s">
        <v>600</v>
      </c>
      <c r="F238" s="2">
        <v>44027</v>
      </c>
      <c r="G238" s="2"/>
      <c r="H238" s="377" t="s">
        <v>37</v>
      </c>
      <c r="I238" s="378" t="s">
        <v>18</v>
      </c>
      <c r="J238" s="3" t="s">
        <v>19</v>
      </c>
      <c r="K238" s="3"/>
    </row>
    <row r="239" spans="1:11" ht="57.6" x14ac:dyDescent="0.3">
      <c r="A239" s="3" t="s">
        <v>601</v>
      </c>
      <c r="B239" s="3" t="str">
        <f>"026089072"</f>
        <v>026089072</v>
      </c>
      <c r="C239" s="3" t="s">
        <v>602</v>
      </c>
      <c r="D239" s="3" t="s">
        <v>603</v>
      </c>
      <c r="E239" s="3" t="s">
        <v>604</v>
      </c>
      <c r="F239" s="2">
        <v>42986</v>
      </c>
      <c r="G239" s="2"/>
      <c r="H239" s="379" t="s">
        <v>17</v>
      </c>
      <c r="I239" s="380" t="s">
        <v>18</v>
      </c>
      <c r="J239" s="3" t="s">
        <v>19</v>
      </c>
      <c r="K239" s="3"/>
    </row>
    <row r="240" spans="1:11" ht="43.2" x14ac:dyDescent="0.3">
      <c r="A240" s="3" t="s">
        <v>601</v>
      </c>
      <c r="B240" s="3" t="str">
        <f>"026089084"</f>
        <v>026089084</v>
      </c>
      <c r="C240" s="3" t="s">
        <v>602</v>
      </c>
      <c r="D240" s="3" t="s">
        <v>605</v>
      </c>
      <c r="E240" s="3" t="s">
        <v>604</v>
      </c>
      <c r="F240" s="2">
        <v>42986</v>
      </c>
      <c r="G240" s="2"/>
      <c r="H240" s="381" t="s">
        <v>17</v>
      </c>
      <c r="I240" s="382" t="s">
        <v>18</v>
      </c>
      <c r="J240" s="3" t="s">
        <v>19</v>
      </c>
      <c r="K240" s="3"/>
    </row>
    <row r="241" spans="1:11" ht="43.2" x14ac:dyDescent="0.3">
      <c r="A241" s="3" t="s">
        <v>601</v>
      </c>
      <c r="B241" s="3" t="str">
        <f>"026089399"</f>
        <v>026089399</v>
      </c>
      <c r="C241" s="3" t="s">
        <v>382</v>
      </c>
      <c r="D241" s="3" t="s">
        <v>606</v>
      </c>
      <c r="E241" s="3" t="s">
        <v>604</v>
      </c>
      <c r="F241" s="2">
        <v>44136</v>
      </c>
      <c r="G241" s="2"/>
      <c r="H241" s="383" t="s">
        <v>37</v>
      </c>
      <c r="I241" s="384" t="s">
        <v>18</v>
      </c>
      <c r="J241" s="3" t="s">
        <v>19</v>
      </c>
      <c r="K241" s="3"/>
    </row>
    <row r="242" spans="1:11" ht="43.2" x14ac:dyDescent="0.3">
      <c r="A242" s="3" t="s">
        <v>601</v>
      </c>
      <c r="B242" s="3" t="str">
        <f>"026089452"</f>
        <v>026089452</v>
      </c>
      <c r="C242" s="3" t="s">
        <v>382</v>
      </c>
      <c r="D242" s="3" t="s">
        <v>607</v>
      </c>
      <c r="E242" s="3" t="s">
        <v>604</v>
      </c>
      <c r="F242" s="2">
        <v>43756</v>
      </c>
      <c r="G242" s="2"/>
      <c r="H242" s="385" t="s">
        <v>37</v>
      </c>
      <c r="I242" s="386" t="s">
        <v>18</v>
      </c>
      <c r="J242" s="3" t="s">
        <v>19</v>
      </c>
      <c r="K242" s="3"/>
    </row>
    <row r="243" spans="1:11" ht="43.2" x14ac:dyDescent="0.3">
      <c r="A243" s="3" t="s">
        <v>608</v>
      </c>
      <c r="B243" s="3" t="str">
        <f>"002039042"</f>
        <v>002039042</v>
      </c>
      <c r="C243" s="3" t="s">
        <v>609</v>
      </c>
      <c r="D243" s="3" t="s">
        <v>610</v>
      </c>
      <c r="E243" s="3" t="s">
        <v>270</v>
      </c>
      <c r="F243" s="2">
        <v>43489</v>
      </c>
      <c r="G243" s="2"/>
      <c r="H243" s="387" t="s">
        <v>37</v>
      </c>
      <c r="I243" s="388" t="s">
        <v>18</v>
      </c>
      <c r="J243" s="3" t="s">
        <v>19</v>
      </c>
      <c r="K243" s="3"/>
    </row>
    <row r="244" spans="1:11" ht="57.6" x14ac:dyDescent="0.3">
      <c r="A244" s="3" t="s">
        <v>611</v>
      </c>
      <c r="B244" s="3" t="str">
        <f>"033247053"</f>
        <v>033247053</v>
      </c>
      <c r="C244" s="3" t="s">
        <v>612</v>
      </c>
      <c r="D244" s="3" t="s">
        <v>613</v>
      </c>
      <c r="E244" s="3" t="s">
        <v>614</v>
      </c>
      <c r="F244" s="2">
        <v>43905</v>
      </c>
      <c r="G244" s="2"/>
      <c r="H244" s="389" t="s">
        <v>37</v>
      </c>
      <c r="I244" s="3" t="s">
        <v>41</v>
      </c>
      <c r="J244" s="3" t="s">
        <v>156</v>
      </c>
      <c r="K244" s="3"/>
    </row>
    <row r="245" spans="1:11" ht="43.2" x14ac:dyDescent="0.3">
      <c r="A245" s="3" t="s">
        <v>615</v>
      </c>
      <c r="B245" s="3" t="str">
        <f>"042798049"</f>
        <v>042798049</v>
      </c>
      <c r="C245" s="3" t="s">
        <v>616</v>
      </c>
      <c r="D245" s="3" t="s">
        <v>617</v>
      </c>
      <c r="E245" s="3" t="s">
        <v>481</v>
      </c>
      <c r="F245" s="2">
        <v>43264</v>
      </c>
      <c r="G245" s="2"/>
      <c r="H245" s="390" t="s">
        <v>17</v>
      </c>
      <c r="I245" s="3" t="s">
        <v>41</v>
      </c>
      <c r="J245" s="3" t="s">
        <v>19</v>
      </c>
      <c r="K245" s="3"/>
    </row>
    <row r="246" spans="1:11" ht="43.2" x14ac:dyDescent="0.3">
      <c r="A246" s="3" t="s">
        <v>618</v>
      </c>
      <c r="B246" s="3" t="str">
        <f>"035203090"</f>
        <v>035203090</v>
      </c>
      <c r="C246" s="3" t="s">
        <v>180</v>
      </c>
      <c r="D246" s="3" t="s">
        <v>619</v>
      </c>
      <c r="E246" s="3" t="s">
        <v>182</v>
      </c>
      <c r="F246" s="2">
        <v>41834</v>
      </c>
      <c r="G246" s="2"/>
      <c r="H246" s="391" t="s">
        <v>17</v>
      </c>
      <c r="I246" s="392" t="s">
        <v>18</v>
      </c>
      <c r="J246" s="3" t="s">
        <v>19</v>
      </c>
      <c r="K246" s="3"/>
    </row>
    <row r="247" spans="1:11" ht="57.6" x14ac:dyDescent="0.3">
      <c r="A247" s="3" t="s">
        <v>620</v>
      </c>
      <c r="B247" s="3" t="str">
        <f>"044273011"</f>
        <v>044273011</v>
      </c>
      <c r="C247" s="3" t="s">
        <v>616</v>
      </c>
      <c r="D247" s="3" t="s">
        <v>621</v>
      </c>
      <c r="E247" s="3" t="s">
        <v>622</v>
      </c>
      <c r="F247" s="2">
        <v>43903</v>
      </c>
      <c r="G247" s="2">
        <v>44104</v>
      </c>
      <c r="H247" s="393" t="s">
        <v>17</v>
      </c>
      <c r="I247" s="3" t="s">
        <v>92</v>
      </c>
      <c r="J247" s="3" t="s">
        <v>156</v>
      </c>
      <c r="K247" s="3"/>
    </row>
    <row r="248" spans="1:11" ht="43.2" x14ac:dyDescent="0.3">
      <c r="A248" s="3" t="s">
        <v>623</v>
      </c>
      <c r="B248" s="3" t="str">
        <f>"024130054"</f>
        <v>024130054</v>
      </c>
      <c r="C248" s="3" t="s">
        <v>624</v>
      </c>
      <c r="D248" s="3" t="s">
        <v>625</v>
      </c>
      <c r="E248" s="3" t="s">
        <v>270</v>
      </c>
      <c r="F248" s="2">
        <v>43389</v>
      </c>
      <c r="G248" s="2"/>
      <c r="H248" s="394" t="s">
        <v>17</v>
      </c>
      <c r="I248" s="395" t="s">
        <v>18</v>
      </c>
      <c r="J248" s="3" t="s">
        <v>19</v>
      </c>
      <c r="K248" s="3"/>
    </row>
    <row r="249" spans="1:11" ht="43.2" x14ac:dyDescent="0.3">
      <c r="A249" s="3" t="s">
        <v>626</v>
      </c>
      <c r="B249" s="3" t="str">
        <f>"034473013"</f>
        <v>034473013</v>
      </c>
      <c r="C249" s="3" t="s">
        <v>624</v>
      </c>
      <c r="D249" s="3" t="s">
        <v>625</v>
      </c>
      <c r="E249" s="3" t="s">
        <v>401</v>
      </c>
      <c r="F249" s="2">
        <v>43067</v>
      </c>
      <c r="G249" s="2"/>
      <c r="H249" s="396" t="s">
        <v>17</v>
      </c>
      <c r="I249" s="3" t="s">
        <v>41</v>
      </c>
      <c r="J249" s="3" t="s">
        <v>19</v>
      </c>
      <c r="K249" s="3"/>
    </row>
    <row r="250" spans="1:11" ht="43.2" x14ac:dyDescent="0.3">
      <c r="A250" s="3" t="s">
        <v>627</v>
      </c>
      <c r="B250" s="3" t="str">
        <f>"028313017"</f>
        <v>028313017</v>
      </c>
      <c r="C250" s="3" t="s">
        <v>628</v>
      </c>
      <c r="D250" s="3" t="s">
        <v>629</v>
      </c>
      <c r="E250" s="3" t="s">
        <v>630</v>
      </c>
      <c r="F250" s="2">
        <v>43549</v>
      </c>
      <c r="G250" s="2"/>
      <c r="H250" s="397" t="s">
        <v>17</v>
      </c>
      <c r="I250" s="398" t="s">
        <v>18</v>
      </c>
      <c r="J250" s="3" t="s">
        <v>19</v>
      </c>
      <c r="K250" s="3"/>
    </row>
    <row r="251" spans="1:11" ht="43.2" x14ac:dyDescent="0.3">
      <c r="A251" s="3" t="s">
        <v>631</v>
      </c>
      <c r="B251" s="3" t="str">
        <f>"026021028"</f>
        <v>026021028</v>
      </c>
      <c r="C251" s="3" t="s">
        <v>632</v>
      </c>
      <c r="D251" s="3" t="s">
        <v>633</v>
      </c>
      <c r="E251" s="3" t="s">
        <v>543</v>
      </c>
      <c r="F251" s="2">
        <v>43952</v>
      </c>
      <c r="G251" s="2"/>
      <c r="H251" s="399" t="s">
        <v>17</v>
      </c>
      <c r="I251" s="400" t="s">
        <v>18</v>
      </c>
      <c r="J251" s="3" t="s">
        <v>19</v>
      </c>
      <c r="K251" s="3"/>
    </row>
    <row r="252" spans="1:11" ht="43.2" x14ac:dyDescent="0.3">
      <c r="A252" s="3" t="s">
        <v>634</v>
      </c>
      <c r="B252" s="3" t="str">
        <f>"025321074"</f>
        <v>025321074</v>
      </c>
      <c r="C252" s="3" t="s">
        <v>635</v>
      </c>
      <c r="D252" s="3" t="s">
        <v>636</v>
      </c>
      <c r="E252" s="3" t="s">
        <v>161</v>
      </c>
      <c r="F252" s="2">
        <v>42830</v>
      </c>
      <c r="G252" s="2"/>
      <c r="H252" s="401" t="s">
        <v>17</v>
      </c>
      <c r="I252" s="402" t="s">
        <v>18</v>
      </c>
      <c r="J252" s="3" t="s">
        <v>19</v>
      </c>
      <c r="K252" s="3"/>
    </row>
    <row r="253" spans="1:11" ht="43.2" x14ac:dyDescent="0.3">
      <c r="A253" s="3" t="s">
        <v>634</v>
      </c>
      <c r="B253" s="3" t="str">
        <f>"025321062"</f>
        <v>025321062</v>
      </c>
      <c r="C253" s="3" t="s">
        <v>635</v>
      </c>
      <c r="D253" s="3" t="s">
        <v>637</v>
      </c>
      <c r="E253" s="3" t="s">
        <v>161</v>
      </c>
      <c r="F253" s="2">
        <v>42830</v>
      </c>
      <c r="G253" s="2"/>
      <c r="H253" s="403" t="s">
        <v>17</v>
      </c>
      <c r="I253" s="404" t="s">
        <v>18</v>
      </c>
      <c r="J253" s="3" t="s">
        <v>19</v>
      </c>
      <c r="K253" s="3"/>
    </row>
    <row r="254" spans="1:11" ht="43.2" x14ac:dyDescent="0.3">
      <c r="A254" s="3" t="s">
        <v>638</v>
      </c>
      <c r="B254" s="3" t="str">
        <f>"022919029"</f>
        <v>022919029</v>
      </c>
      <c r="C254" s="3" t="s">
        <v>639</v>
      </c>
      <c r="D254" s="3" t="s">
        <v>640</v>
      </c>
      <c r="E254" s="3" t="s">
        <v>576</v>
      </c>
      <c r="F254" s="2">
        <v>43435</v>
      </c>
      <c r="G254" s="2"/>
      <c r="H254" s="405" t="s">
        <v>37</v>
      </c>
      <c r="I254" s="406" t="s">
        <v>18</v>
      </c>
      <c r="J254" s="3" t="s">
        <v>19</v>
      </c>
      <c r="K254" s="3"/>
    </row>
    <row r="255" spans="1:11" ht="43.2" x14ac:dyDescent="0.3">
      <c r="A255" s="3" t="s">
        <v>638</v>
      </c>
      <c r="B255" s="3" t="str">
        <f>"022919043"</f>
        <v>022919043</v>
      </c>
      <c r="C255" s="3" t="s">
        <v>639</v>
      </c>
      <c r="D255" s="3" t="s">
        <v>641</v>
      </c>
      <c r="E255" s="3" t="s">
        <v>576</v>
      </c>
      <c r="F255" s="2">
        <v>43435</v>
      </c>
      <c r="G255" s="2"/>
      <c r="H255" s="407" t="s">
        <v>37</v>
      </c>
      <c r="I255" s="408" t="s">
        <v>18</v>
      </c>
      <c r="J255" s="3" t="s">
        <v>19</v>
      </c>
      <c r="K255" s="3"/>
    </row>
    <row r="256" spans="1:11" ht="43.2" x14ac:dyDescent="0.3">
      <c r="A256" s="3" t="s">
        <v>638</v>
      </c>
      <c r="B256" s="3" t="str">
        <f>"022919106"</f>
        <v>022919106</v>
      </c>
      <c r="C256" s="3" t="s">
        <v>639</v>
      </c>
      <c r="D256" s="3" t="s">
        <v>642</v>
      </c>
      <c r="E256" s="3" t="s">
        <v>576</v>
      </c>
      <c r="F256" s="2">
        <v>43435</v>
      </c>
      <c r="G256" s="2"/>
      <c r="H256" s="409" t="s">
        <v>37</v>
      </c>
      <c r="I256" s="410" t="s">
        <v>18</v>
      </c>
      <c r="J256" s="3" t="s">
        <v>19</v>
      </c>
      <c r="K256" s="3"/>
    </row>
    <row r="257" spans="1:11" ht="43.2" x14ac:dyDescent="0.3">
      <c r="A257" s="3" t="s">
        <v>643</v>
      </c>
      <c r="B257" s="3" t="str">
        <f>"037465111"</f>
        <v>037465111</v>
      </c>
      <c r="C257" s="3" t="s">
        <v>644</v>
      </c>
      <c r="D257" s="3" t="s">
        <v>645</v>
      </c>
      <c r="E257" s="3" t="s">
        <v>107</v>
      </c>
      <c r="F257" s="2">
        <v>44015</v>
      </c>
      <c r="G257" s="2"/>
      <c r="H257" s="411" t="s">
        <v>17</v>
      </c>
      <c r="I257" s="3" t="s">
        <v>41</v>
      </c>
      <c r="J257" s="3" t="s">
        <v>19</v>
      </c>
      <c r="K257" s="3"/>
    </row>
    <row r="258" spans="1:11" ht="57.6" x14ac:dyDescent="0.3">
      <c r="A258" s="3" t="s">
        <v>646</v>
      </c>
      <c r="B258" s="3" t="str">
        <f>"044327056"</f>
        <v>044327056</v>
      </c>
      <c r="C258" s="3" t="s">
        <v>647</v>
      </c>
      <c r="D258" s="3" t="s">
        <v>648</v>
      </c>
      <c r="E258" s="3" t="s">
        <v>16</v>
      </c>
      <c r="F258" s="2">
        <v>44153</v>
      </c>
      <c r="G258" s="2">
        <v>44286</v>
      </c>
      <c r="H258" s="412" t="s">
        <v>17</v>
      </c>
      <c r="I258" s="3" t="s">
        <v>41</v>
      </c>
      <c r="J258" s="3" t="s">
        <v>19</v>
      </c>
      <c r="K258" s="3"/>
    </row>
    <row r="259" spans="1:11" ht="57.6" x14ac:dyDescent="0.3">
      <c r="A259" s="3" t="s">
        <v>649</v>
      </c>
      <c r="B259" s="3" t="str">
        <f>"044575025"</f>
        <v>044575025</v>
      </c>
      <c r="C259" s="3" t="s">
        <v>647</v>
      </c>
      <c r="D259" s="3" t="s">
        <v>650</v>
      </c>
      <c r="E259" s="3" t="s">
        <v>651</v>
      </c>
      <c r="F259" s="2">
        <v>44046</v>
      </c>
      <c r="G259" s="2">
        <v>44134</v>
      </c>
      <c r="H259" s="413" t="s">
        <v>17</v>
      </c>
      <c r="I259" s="3" t="s">
        <v>41</v>
      </c>
      <c r="J259" s="3" t="s">
        <v>19</v>
      </c>
      <c r="K259" s="3"/>
    </row>
    <row r="260" spans="1:11" ht="57.6" x14ac:dyDescent="0.3">
      <c r="A260" s="3" t="s">
        <v>649</v>
      </c>
      <c r="B260" s="3" t="str">
        <f>"044575064"</f>
        <v>044575064</v>
      </c>
      <c r="C260" s="3" t="s">
        <v>647</v>
      </c>
      <c r="D260" s="3" t="s">
        <v>648</v>
      </c>
      <c r="E260" s="3" t="s">
        <v>651</v>
      </c>
      <c r="F260" s="2">
        <v>44046</v>
      </c>
      <c r="G260" s="2">
        <v>44134</v>
      </c>
      <c r="H260" s="414" t="s">
        <v>17</v>
      </c>
      <c r="I260" s="3" t="s">
        <v>41</v>
      </c>
      <c r="J260" s="3" t="s">
        <v>19</v>
      </c>
      <c r="K260" s="3"/>
    </row>
    <row r="261" spans="1:11" ht="86.4" x14ac:dyDescent="0.3">
      <c r="A261" s="3" t="s">
        <v>652</v>
      </c>
      <c r="B261" s="3" t="str">
        <f>"020213132"</f>
        <v>020213132</v>
      </c>
      <c r="C261" s="3" t="s">
        <v>653</v>
      </c>
      <c r="D261" s="3" t="s">
        <v>654</v>
      </c>
      <c r="E261" s="3" t="s">
        <v>151</v>
      </c>
      <c r="F261" s="2">
        <v>43853</v>
      </c>
      <c r="G261" s="2"/>
      <c r="H261" s="415" t="s">
        <v>37</v>
      </c>
      <c r="I261" s="416" t="s">
        <v>18</v>
      </c>
      <c r="J261" s="3" t="s">
        <v>19</v>
      </c>
      <c r="K261" s="3"/>
    </row>
    <row r="262" spans="1:11" ht="86.4" x14ac:dyDescent="0.3">
      <c r="A262" s="3" t="s">
        <v>652</v>
      </c>
      <c r="B262" s="3" t="str">
        <f>"020213118"</f>
        <v>020213118</v>
      </c>
      <c r="C262" s="3" t="s">
        <v>653</v>
      </c>
      <c r="D262" s="3" t="s">
        <v>655</v>
      </c>
      <c r="E262" s="3" t="s">
        <v>151</v>
      </c>
      <c r="F262" s="2">
        <v>43853</v>
      </c>
      <c r="G262" s="2"/>
      <c r="H262" s="417" t="s">
        <v>37</v>
      </c>
      <c r="I262" s="418" t="s">
        <v>18</v>
      </c>
      <c r="J262" s="3" t="s">
        <v>19</v>
      </c>
      <c r="K262" s="3"/>
    </row>
    <row r="263" spans="1:11" ht="43.2" x14ac:dyDescent="0.3">
      <c r="A263" s="3" t="s">
        <v>656</v>
      </c>
      <c r="B263" s="3" t="str">
        <f>"032143036"</f>
        <v>032143036</v>
      </c>
      <c r="C263" s="3" t="s">
        <v>657</v>
      </c>
      <c r="D263" s="3" t="s">
        <v>658</v>
      </c>
      <c r="E263" s="3" t="s">
        <v>659</v>
      </c>
      <c r="F263" s="2">
        <v>44123</v>
      </c>
      <c r="G263" s="2"/>
      <c r="H263" s="419" t="s">
        <v>17</v>
      </c>
      <c r="I263" s="3" t="s">
        <v>41</v>
      </c>
      <c r="J263" s="3" t="s">
        <v>19</v>
      </c>
      <c r="K263" s="3"/>
    </row>
    <row r="264" spans="1:11" ht="43.2" x14ac:dyDescent="0.3">
      <c r="A264" s="3" t="s">
        <v>656</v>
      </c>
      <c r="B264" s="3" t="str">
        <f>"032143051"</f>
        <v>032143051</v>
      </c>
      <c r="C264" s="3" t="s">
        <v>657</v>
      </c>
      <c r="D264" s="3" t="s">
        <v>660</v>
      </c>
      <c r="E264" s="3" t="s">
        <v>659</v>
      </c>
      <c r="F264" s="2">
        <v>43281</v>
      </c>
      <c r="G264" s="2"/>
      <c r="H264" s="420" t="s">
        <v>17</v>
      </c>
      <c r="I264" s="421" t="s">
        <v>18</v>
      </c>
      <c r="J264" s="3" t="s">
        <v>19</v>
      </c>
      <c r="K264" s="3"/>
    </row>
    <row r="265" spans="1:11" ht="57.6" x14ac:dyDescent="0.3">
      <c r="A265" s="3" t="s">
        <v>661</v>
      </c>
      <c r="B265" s="3" t="str">
        <f>"034483014"</f>
        <v>034483014</v>
      </c>
      <c r="C265" s="3" t="s">
        <v>662</v>
      </c>
      <c r="D265" s="3" t="s">
        <v>663</v>
      </c>
      <c r="E265" s="3" t="s">
        <v>664</v>
      </c>
      <c r="F265" s="2">
        <v>44165</v>
      </c>
      <c r="G265" s="2">
        <v>44348</v>
      </c>
      <c r="H265" s="422" t="s">
        <v>37</v>
      </c>
      <c r="I265" s="3" t="s">
        <v>41</v>
      </c>
      <c r="J265" s="3" t="s">
        <v>156</v>
      </c>
      <c r="K265" s="3"/>
    </row>
    <row r="266" spans="1:11" ht="43.2" x14ac:dyDescent="0.3">
      <c r="A266" s="3" t="s">
        <v>665</v>
      </c>
      <c r="B266" s="3" t="str">
        <f>"018048013"</f>
        <v>018048013</v>
      </c>
      <c r="C266" s="3" t="s">
        <v>666</v>
      </c>
      <c r="D266" s="3" t="s">
        <v>667</v>
      </c>
      <c r="E266" s="3" t="s">
        <v>668</v>
      </c>
      <c r="F266" s="2">
        <v>43063</v>
      </c>
      <c r="G266" s="2"/>
      <c r="H266" s="423" t="s">
        <v>37</v>
      </c>
      <c r="I266" s="424" t="s">
        <v>18</v>
      </c>
      <c r="J266" s="3" t="s">
        <v>19</v>
      </c>
      <c r="K266" s="3"/>
    </row>
    <row r="267" spans="1:11" ht="43.2" x14ac:dyDescent="0.3">
      <c r="A267" s="3" t="s">
        <v>665</v>
      </c>
      <c r="B267" s="3" t="str">
        <f>"018048037"</f>
        <v>018048037</v>
      </c>
      <c r="C267" s="3" t="s">
        <v>666</v>
      </c>
      <c r="D267" s="3" t="s">
        <v>669</v>
      </c>
      <c r="E267" s="3" t="s">
        <v>668</v>
      </c>
      <c r="F267" s="2">
        <v>43063</v>
      </c>
      <c r="G267" s="2"/>
      <c r="H267" s="425" t="s">
        <v>37</v>
      </c>
      <c r="I267" s="426" t="s">
        <v>18</v>
      </c>
      <c r="J267" s="3" t="s">
        <v>19</v>
      </c>
      <c r="K267" s="3"/>
    </row>
    <row r="268" spans="1:11" ht="43.2" x14ac:dyDescent="0.3">
      <c r="A268" s="3" t="s">
        <v>670</v>
      </c>
      <c r="B268" s="3" t="str">
        <f>"023907052"</f>
        <v>023907052</v>
      </c>
      <c r="C268" s="3" t="s">
        <v>554</v>
      </c>
      <c r="D268" s="3" t="s">
        <v>671</v>
      </c>
      <c r="E268" s="3" t="s">
        <v>270</v>
      </c>
      <c r="F268" s="2">
        <v>44197</v>
      </c>
      <c r="G268" s="2"/>
      <c r="H268" s="427" t="s">
        <v>17</v>
      </c>
      <c r="I268" s="428" t="s">
        <v>18</v>
      </c>
      <c r="J268" s="3" t="s">
        <v>19</v>
      </c>
      <c r="K268" s="3"/>
    </row>
    <row r="269" spans="1:11" ht="43.2" x14ac:dyDescent="0.3">
      <c r="A269" s="3" t="s">
        <v>670</v>
      </c>
      <c r="B269" s="3" t="str">
        <f>"023907102"</f>
        <v>023907102</v>
      </c>
      <c r="C269" s="3" t="s">
        <v>554</v>
      </c>
      <c r="D269" s="3" t="s">
        <v>672</v>
      </c>
      <c r="E269" s="3" t="s">
        <v>270</v>
      </c>
      <c r="F269" s="2">
        <v>43749</v>
      </c>
      <c r="G269" s="2"/>
      <c r="H269" s="429" t="s">
        <v>17</v>
      </c>
      <c r="I269" s="430" t="s">
        <v>18</v>
      </c>
      <c r="J269" s="3" t="s">
        <v>19</v>
      </c>
      <c r="K269" s="3"/>
    </row>
    <row r="270" spans="1:11" ht="43.2" x14ac:dyDescent="0.3">
      <c r="A270" s="3" t="s">
        <v>673</v>
      </c>
      <c r="B270" s="3" t="str">
        <f>"043355104"</f>
        <v>043355104</v>
      </c>
      <c r="C270" s="3" t="s">
        <v>674</v>
      </c>
      <c r="D270" s="3" t="s">
        <v>675</v>
      </c>
      <c r="E270" s="3" t="s">
        <v>83</v>
      </c>
      <c r="F270" s="2">
        <v>43669</v>
      </c>
      <c r="G270" s="2"/>
      <c r="H270" s="431" t="s">
        <v>17</v>
      </c>
      <c r="I270" s="3" t="s">
        <v>41</v>
      </c>
      <c r="J270" s="3" t="s">
        <v>19</v>
      </c>
      <c r="K270" s="3"/>
    </row>
    <row r="271" spans="1:11" ht="43.2" x14ac:dyDescent="0.3">
      <c r="A271" s="3" t="s">
        <v>676</v>
      </c>
      <c r="B271" s="3" t="str">
        <f>"035414010"</f>
        <v>035414010</v>
      </c>
      <c r="C271" s="3" t="s">
        <v>677</v>
      </c>
      <c r="D271" s="3" t="s">
        <v>678</v>
      </c>
      <c r="E271" s="3" t="s">
        <v>83</v>
      </c>
      <c r="F271" s="2">
        <v>43764</v>
      </c>
      <c r="G271" s="2"/>
      <c r="H271" s="432" t="s">
        <v>17</v>
      </c>
      <c r="I271" s="433" t="s">
        <v>18</v>
      </c>
      <c r="J271" s="3" t="s">
        <v>19</v>
      </c>
      <c r="K271" s="3"/>
    </row>
    <row r="272" spans="1:11" ht="43.2" x14ac:dyDescent="0.3">
      <c r="A272" s="3" t="s">
        <v>679</v>
      </c>
      <c r="B272" s="3" t="str">
        <f>"038803019"</f>
        <v>038803019</v>
      </c>
      <c r="C272" s="3" t="s">
        <v>680</v>
      </c>
      <c r="D272" s="3" t="s">
        <v>681</v>
      </c>
      <c r="E272" s="3" t="s">
        <v>64</v>
      </c>
      <c r="F272" s="2">
        <v>43152</v>
      </c>
      <c r="G272" s="2"/>
      <c r="H272" s="434" t="s">
        <v>17</v>
      </c>
      <c r="I272" s="3" t="s">
        <v>41</v>
      </c>
      <c r="J272" s="3" t="s">
        <v>19</v>
      </c>
      <c r="K272" s="3"/>
    </row>
    <row r="273" spans="1:11" ht="43.2" x14ac:dyDescent="0.3">
      <c r="A273" s="3" t="s">
        <v>682</v>
      </c>
      <c r="B273" s="3" t="str">
        <f>"038586018"</f>
        <v>038586018</v>
      </c>
      <c r="C273" s="3" t="s">
        <v>680</v>
      </c>
      <c r="D273" s="3" t="s">
        <v>683</v>
      </c>
      <c r="E273" s="3" t="s">
        <v>64</v>
      </c>
      <c r="F273" s="2">
        <v>42991</v>
      </c>
      <c r="G273" s="2"/>
      <c r="H273" s="435" t="s">
        <v>17</v>
      </c>
      <c r="I273" s="3" t="s">
        <v>41</v>
      </c>
      <c r="J273" s="3" t="s">
        <v>19</v>
      </c>
      <c r="K273" s="3"/>
    </row>
    <row r="274" spans="1:11" ht="43.2" x14ac:dyDescent="0.3">
      <c r="A274" s="3" t="s">
        <v>684</v>
      </c>
      <c r="B274" s="3" t="str">
        <f>"038876126"</f>
        <v>038876126</v>
      </c>
      <c r="C274" s="3" t="s">
        <v>680</v>
      </c>
      <c r="D274" s="3" t="s">
        <v>681</v>
      </c>
      <c r="E274" s="3" t="s">
        <v>685</v>
      </c>
      <c r="F274" s="2">
        <v>43872</v>
      </c>
      <c r="G274" s="2">
        <v>43961</v>
      </c>
      <c r="H274" s="436" t="s">
        <v>17</v>
      </c>
      <c r="I274" s="3" t="s">
        <v>41</v>
      </c>
      <c r="J274" s="3" t="s">
        <v>19</v>
      </c>
      <c r="K274" s="3"/>
    </row>
    <row r="275" spans="1:11" ht="43.2" x14ac:dyDescent="0.3">
      <c r="A275" s="3" t="s">
        <v>686</v>
      </c>
      <c r="B275" s="3" t="str">
        <f>"038352023"</f>
        <v>038352023</v>
      </c>
      <c r="C275" s="3" t="s">
        <v>680</v>
      </c>
      <c r="D275" s="3" t="s">
        <v>683</v>
      </c>
      <c r="E275" s="3" t="s">
        <v>27</v>
      </c>
      <c r="F275" s="2">
        <v>44077</v>
      </c>
      <c r="G275" s="2">
        <v>44104</v>
      </c>
      <c r="H275" s="437" t="s">
        <v>17</v>
      </c>
      <c r="I275" s="3" t="s">
        <v>41</v>
      </c>
      <c r="J275" s="3" t="s">
        <v>19</v>
      </c>
      <c r="K275" s="3"/>
    </row>
    <row r="276" spans="1:11" ht="86.4" x14ac:dyDescent="0.3">
      <c r="A276" s="3" t="s">
        <v>687</v>
      </c>
      <c r="B276" s="3" t="str">
        <f>"047811017"</f>
        <v>047811017</v>
      </c>
      <c r="C276" s="3" t="s">
        <v>688</v>
      </c>
      <c r="D276" s="3" t="s">
        <v>689</v>
      </c>
      <c r="E276" s="3" t="s">
        <v>690</v>
      </c>
      <c r="F276" s="2">
        <v>44135</v>
      </c>
      <c r="G276" s="2">
        <v>44180</v>
      </c>
      <c r="H276" s="438" t="s">
        <v>37</v>
      </c>
      <c r="I276" s="3" t="s">
        <v>41</v>
      </c>
      <c r="J276" s="3" t="s">
        <v>156</v>
      </c>
      <c r="K276" s="3"/>
    </row>
    <row r="277" spans="1:11" ht="43.2" x14ac:dyDescent="0.3">
      <c r="A277" s="3" t="s">
        <v>691</v>
      </c>
      <c r="B277" s="3" t="str">
        <f>"026297034"</f>
        <v>026297034</v>
      </c>
      <c r="C277" s="3" t="s">
        <v>692</v>
      </c>
      <c r="D277" s="3" t="s">
        <v>693</v>
      </c>
      <c r="E277" s="3" t="s">
        <v>694</v>
      </c>
      <c r="F277" s="2">
        <v>43831</v>
      </c>
      <c r="G277" s="2">
        <v>44197</v>
      </c>
      <c r="H277" s="439" t="s">
        <v>37</v>
      </c>
      <c r="I277" s="440" t="s">
        <v>32</v>
      </c>
      <c r="J277" s="3" t="s">
        <v>19</v>
      </c>
      <c r="K277" s="3"/>
    </row>
    <row r="278" spans="1:11" ht="43.2" x14ac:dyDescent="0.3">
      <c r="A278" s="3" t="s">
        <v>695</v>
      </c>
      <c r="B278" s="3" t="str">
        <f>"008477061"</f>
        <v>008477061</v>
      </c>
      <c r="C278" s="3" t="s">
        <v>696</v>
      </c>
      <c r="D278" s="3" t="s">
        <v>697</v>
      </c>
      <c r="E278" s="3" t="s">
        <v>161</v>
      </c>
      <c r="F278" s="2">
        <v>43893</v>
      </c>
      <c r="G278" s="2"/>
      <c r="H278" s="441" t="s">
        <v>37</v>
      </c>
      <c r="I278" s="3" t="s">
        <v>38</v>
      </c>
      <c r="J278" s="3" t="s">
        <v>19</v>
      </c>
      <c r="K278" s="3"/>
    </row>
    <row r="279" spans="1:11" ht="86.4" x14ac:dyDescent="0.3">
      <c r="A279" s="3" t="s">
        <v>698</v>
      </c>
      <c r="B279" s="3" t="str">
        <f>"038190017"</f>
        <v>038190017</v>
      </c>
      <c r="C279" s="3" t="s">
        <v>699</v>
      </c>
      <c r="D279" s="3" t="s">
        <v>700</v>
      </c>
      <c r="E279" s="3" t="s">
        <v>518</v>
      </c>
      <c r="F279" s="2">
        <v>42823</v>
      </c>
      <c r="G279" s="2"/>
      <c r="H279" s="442" t="s">
        <v>17</v>
      </c>
      <c r="I279" s="443" t="s">
        <v>18</v>
      </c>
      <c r="J279" s="3" t="s">
        <v>19</v>
      </c>
      <c r="K279" s="3"/>
    </row>
    <row r="280" spans="1:11" ht="86.4" x14ac:dyDescent="0.3">
      <c r="A280" s="3" t="s">
        <v>698</v>
      </c>
      <c r="B280" s="3" t="str">
        <f>"038190056"</f>
        <v>038190056</v>
      </c>
      <c r="C280" s="3" t="s">
        <v>699</v>
      </c>
      <c r="D280" s="3" t="s">
        <v>701</v>
      </c>
      <c r="E280" s="3" t="s">
        <v>518</v>
      </c>
      <c r="F280" s="2">
        <v>42823</v>
      </c>
      <c r="G280" s="2"/>
      <c r="H280" s="444" t="s">
        <v>17</v>
      </c>
      <c r="I280" s="445" t="s">
        <v>18</v>
      </c>
      <c r="J280" s="3" t="s">
        <v>19</v>
      </c>
      <c r="K280" s="3"/>
    </row>
    <row r="281" spans="1:11" ht="86.4" x14ac:dyDescent="0.3">
      <c r="A281" s="3" t="s">
        <v>698</v>
      </c>
      <c r="B281" s="3" t="str">
        <f>"038190144"</f>
        <v>038190144</v>
      </c>
      <c r="C281" s="3" t="s">
        <v>699</v>
      </c>
      <c r="D281" s="3" t="s">
        <v>702</v>
      </c>
      <c r="E281" s="3" t="s">
        <v>518</v>
      </c>
      <c r="F281" s="2">
        <v>42647</v>
      </c>
      <c r="G281" s="2"/>
      <c r="H281" s="446" t="s">
        <v>17</v>
      </c>
      <c r="I281" s="447" t="s">
        <v>18</v>
      </c>
      <c r="J281" s="3" t="s">
        <v>19</v>
      </c>
      <c r="K281" s="3"/>
    </row>
    <row r="282" spans="1:11" ht="86.4" x14ac:dyDescent="0.3">
      <c r="A282" s="3" t="s">
        <v>698</v>
      </c>
      <c r="B282" s="3" t="str">
        <f>"038190132"</f>
        <v>038190132</v>
      </c>
      <c r="C282" s="3" t="s">
        <v>699</v>
      </c>
      <c r="D282" s="3" t="s">
        <v>703</v>
      </c>
      <c r="E282" s="3" t="s">
        <v>518</v>
      </c>
      <c r="F282" s="2">
        <v>42647</v>
      </c>
      <c r="G282" s="2"/>
      <c r="H282" s="448" t="s">
        <v>17</v>
      </c>
      <c r="I282" s="449" t="s">
        <v>18</v>
      </c>
      <c r="J282" s="3" t="s">
        <v>19</v>
      </c>
      <c r="K282" s="3"/>
    </row>
    <row r="283" spans="1:11" ht="86.4" x14ac:dyDescent="0.3">
      <c r="A283" s="3" t="s">
        <v>698</v>
      </c>
      <c r="B283" s="3" t="str">
        <f>"038190120"</f>
        <v>038190120</v>
      </c>
      <c r="C283" s="3" t="s">
        <v>699</v>
      </c>
      <c r="D283" s="3" t="s">
        <v>704</v>
      </c>
      <c r="E283" s="3" t="s">
        <v>518</v>
      </c>
      <c r="F283" s="2">
        <v>42647</v>
      </c>
      <c r="G283" s="2"/>
      <c r="H283" s="450" t="s">
        <v>17</v>
      </c>
      <c r="I283" s="451" t="s">
        <v>18</v>
      </c>
      <c r="J283" s="3" t="s">
        <v>19</v>
      </c>
      <c r="K283" s="3"/>
    </row>
    <row r="284" spans="1:11" ht="86.4" x14ac:dyDescent="0.3">
      <c r="A284" s="3" t="s">
        <v>698</v>
      </c>
      <c r="B284" s="3" t="str">
        <f>"038190118"</f>
        <v>038190118</v>
      </c>
      <c r="C284" s="3" t="s">
        <v>699</v>
      </c>
      <c r="D284" s="3" t="s">
        <v>705</v>
      </c>
      <c r="E284" s="3" t="s">
        <v>518</v>
      </c>
      <c r="F284" s="2">
        <v>42566</v>
      </c>
      <c r="G284" s="2"/>
      <c r="H284" s="452" t="s">
        <v>17</v>
      </c>
      <c r="I284" s="453" t="s">
        <v>18</v>
      </c>
      <c r="J284" s="3" t="s">
        <v>19</v>
      </c>
      <c r="K284" s="3"/>
    </row>
    <row r="285" spans="1:11" ht="86.4" x14ac:dyDescent="0.3">
      <c r="A285" s="3" t="s">
        <v>698</v>
      </c>
      <c r="B285" s="3" t="str">
        <f>"038190106"</f>
        <v>038190106</v>
      </c>
      <c r="C285" s="3" t="s">
        <v>699</v>
      </c>
      <c r="D285" s="3" t="s">
        <v>706</v>
      </c>
      <c r="E285" s="3" t="s">
        <v>518</v>
      </c>
      <c r="F285" s="2">
        <v>42647</v>
      </c>
      <c r="G285" s="2"/>
      <c r="H285" s="454" t="s">
        <v>17</v>
      </c>
      <c r="I285" s="455" t="s">
        <v>18</v>
      </c>
      <c r="J285" s="3" t="s">
        <v>19</v>
      </c>
      <c r="K285" s="3"/>
    </row>
    <row r="286" spans="1:11" ht="86.4" x14ac:dyDescent="0.3">
      <c r="A286" s="3" t="s">
        <v>698</v>
      </c>
      <c r="B286" s="3" t="str">
        <f>"038190094"</f>
        <v>038190094</v>
      </c>
      <c r="C286" s="3" t="s">
        <v>699</v>
      </c>
      <c r="D286" s="3" t="s">
        <v>707</v>
      </c>
      <c r="E286" s="3" t="s">
        <v>518</v>
      </c>
      <c r="F286" s="2">
        <v>42647</v>
      </c>
      <c r="G286" s="2"/>
      <c r="H286" s="456" t="s">
        <v>17</v>
      </c>
      <c r="I286" s="457" t="s">
        <v>18</v>
      </c>
      <c r="J286" s="3" t="s">
        <v>19</v>
      </c>
      <c r="K286" s="3"/>
    </row>
    <row r="287" spans="1:11" ht="86.4" x14ac:dyDescent="0.3">
      <c r="A287" s="3" t="s">
        <v>698</v>
      </c>
      <c r="B287" s="3" t="str">
        <f>"038190258"</f>
        <v>038190258</v>
      </c>
      <c r="C287" s="3" t="s">
        <v>699</v>
      </c>
      <c r="D287" s="3" t="s">
        <v>708</v>
      </c>
      <c r="E287" s="3" t="s">
        <v>518</v>
      </c>
      <c r="F287" s="2">
        <v>42647</v>
      </c>
      <c r="G287" s="2"/>
      <c r="H287" s="458" t="s">
        <v>17</v>
      </c>
      <c r="I287" s="459" t="s">
        <v>18</v>
      </c>
      <c r="J287" s="3" t="s">
        <v>19</v>
      </c>
      <c r="K287" s="3"/>
    </row>
    <row r="288" spans="1:11" ht="86.4" x14ac:dyDescent="0.3">
      <c r="A288" s="3" t="s">
        <v>698</v>
      </c>
      <c r="B288" s="3" t="str">
        <f>"038190082"</f>
        <v>038190082</v>
      </c>
      <c r="C288" s="3" t="s">
        <v>699</v>
      </c>
      <c r="D288" s="3" t="s">
        <v>709</v>
      </c>
      <c r="E288" s="3" t="s">
        <v>518</v>
      </c>
      <c r="F288" s="2">
        <v>42647</v>
      </c>
      <c r="G288" s="2"/>
      <c r="H288" s="460" t="s">
        <v>17</v>
      </c>
      <c r="I288" s="461" t="s">
        <v>18</v>
      </c>
      <c r="J288" s="3" t="s">
        <v>19</v>
      </c>
      <c r="K288" s="3"/>
    </row>
    <row r="289" spans="1:11" ht="86.4" x14ac:dyDescent="0.3">
      <c r="A289" s="3" t="s">
        <v>698</v>
      </c>
      <c r="B289" s="3" t="str">
        <f>"038190070"</f>
        <v>038190070</v>
      </c>
      <c r="C289" s="3" t="s">
        <v>699</v>
      </c>
      <c r="D289" s="3" t="s">
        <v>710</v>
      </c>
      <c r="E289" s="3" t="s">
        <v>518</v>
      </c>
      <c r="F289" s="2">
        <v>42647</v>
      </c>
      <c r="G289" s="2"/>
      <c r="H289" s="462" t="s">
        <v>17</v>
      </c>
      <c r="I289" s="463" t="s">
        <v>18</v>
      </c>
      <c r="J289" s="3" t="s">
        <v>19</v>
      </c>
      <c r="K289" s="3"/>
    </row>
    <row r="290" spans="1:11" ht="86.4" x14ac:dyDescent="0.3">
      <c r="A290" s="3" t="s">
        <v>698</v>
      </c>
      <c r="B290" s="3" t="str">
        <f>"038190233"</f>
        <v>038190233</v>
      </c>
      <c r="C290" s="3" t="s">
        <v>699</v>
      </c>
      <c r="D290" s="3" t="s">
        <v>711</v>
      </c>
      <c r="E290" s="3" t="s">
        <v>518</v>
      </c>
      <c r="F290" s="2">
        <v>42647</v>
      </c>
      <c r="G290" s="2"/>
      <c r="H290" s="464" t="s">
        <v>17</v>
      </c>
      <c r="I290" s="465" t="s">
        <v>18</v>
      </c>
      <c r="J290" s="3" t="s">
        <v>19</v>
      </c>
      <c r="K290" s="3"/>
    </row>
    <row r="291" spans="1:11" ht="86.4" x14ac:dyDescent="0.3">
      <c r="A291" s="3" t="s">
        <v>698</v>
      </c>
      <c r="B291" s="3" t="str">
        <f>"038190068"</f>
        <v>038190068</v>
      </c>
      <c r="C291" s="3" t="s">
        <v>699</v>
      </c>
      <c r="D291" s="3" t="s">
        <v>712</v>
      </c>
      <c r="E291" s="3" t="s">
        <v>518</v>
      </c>
      <c r="F291" s="2">
        <v>42647</v>
      </c>
      <c r="G291" s="2"/>
      <c r="H291" s="466" t="s">
        <v>17</v>
      </c>
      <c r="I291" s="467" t="s">
        <v>18</v>
      </c>
      <c r="J291" s="3" t="s">
        <v>19</v>
      </c>
      <c r="K291" s="3"/>
    </row>
    <row r="292" spans="1:11" ht="86.4" x14ac:dyDescent="0.3">
      <c r="A292" s="3" t="s">
        <v>698</v>
      </c>
      <c r="B292" s="3" t="str">
        <f>"038190219"</f>
        <v>038190219</v>
      </c>
      <c r="C292" s="3" t="s">
        <v>699</v>
      </c>
      <c r="D292" s="3" t="s">
        <v>713</v>
      </c>
      <c r="E292" s="3" t="s">
        <v>518</v>
      </c>
      <c r="F292" s="2">
        <v>42647</v>
      </c>
      <c r="G292" s="2"/>
      <c r="H292" s="468" t="s">
        <v>17</v>
      </c>
      <c r="I292" s="469" t="s">
        <v>18</v>
      </c>
      <c r="J292" s="3" t="s">
        <v>19</v>
      </c>
      <c r="K292" s="3"/>
    </row>
    <row r="293" spans="1:11" ht="86.4" x14ac:dyDescent="0.3">
      <c r="A293" s="3" t="s">
        <v>698</v>
      </c>
      <c r="B293" s="3" t="str">
        <f>"038190043"</f>
        <v>038190043</v>
      </c>
      <c r="C293" s="3" t="s">
        <v>699</v>
      </c>
      <c r="D293" s="3" t="s">
        <v>714</v>
      </c>
      <c r="E293" s="3" t="s">
        <v>518</v>
      </c>
      <c r="F293" s="2">
        <v>42647</v>
      </c>
      <c r="G293" s="2"/>
      <c r="H293" s="470" t="s">
        <v>17</v>
      </c>
      <c r="I293" s="471" t="s">
        <v>18</v>
      </c>
      <c r="J293" s="3" t="s">
        <v>19</v>
      </c>
      <c r="K293" s="3"/>
    </row>
    <row r="294" spans="1:11" ht="86.4" x14ac:dyDescent="0.3">
      <c r="A294" s="3" t="s">
        <v>698</v>
      </c>
      <c r="B294" s="3" t="str">
        <f>"038190031"</f>
        <v>038190031</v>
      </c>
      <c r="C294" s="3" t="s">
        <v>699</v>
      </c>
      <c r="D294" s="3" t="s">
        <v>715</v>
      </c>
      <c r="E294" s="3" t="s">
        <v>518</v>
      </c>
      <c r="F294" s="2">
        <v>42647</v>
      </c>
      <c r="G294" s="2"/>
      <c r="H294" s="472" t="s">
        <v>17</v>
      </c>
      <c r="I294" s="473" t="s">
        <v>18</v>
      </c>
      <c r="J294" s="3" t="s">
        <v>19</v>
      </c>
      <c r="K294" s="3"/>
    </row>
    <row r="295" spans="1:11" ht="86.4" x14ac:dyDescent="0.3">
      <c r="A295" s="3" t="s">
        <v>698</v>
      </c>
      <c r="B295" s="3" t="str">
        <f>"038190169"</f>
        <v>038190169</v>
      </c>
      <c r="C295" s="3" t="s">
        <v>699</v>
      </c>
      <c r="D295" s="3" t="s">
        <v>716</v>
      </c>
      <c r="E295" s="3" t="s">
        <v>518</v>
      </c>
      <c r="F295" s="2">
        <v>42647</v>
      </c>
      <c r="G295" s="2"/>
      <c r="H295" s="474" t="s">
        <v>17</v>
      </c>
      <c r="I295" s="475" t="s">
        <v>18</v>
      </c>
      <c r="J295" s="3" t="s">
        <v>19</v>
      </c>
      <c r="K295" s="3"/>
    </row>
    <row r="296" spans="1:11" ht="86.4" x14ac:dyDescent="0.3">
      <c r="A296" s="3" t="s">
        <v>698</v>
      </c>
      <c r="B296" s="3" t="str">
        <f>"038190157"</f>
        <v>038190157</v>
      </c>
      <c r="C296" s="3" t="s">
        <v>699</v>
      </c>
      <c r="D296" s="3" t="s">
        <v>717</v>
      </c>
      <c r="E296" s="3" t="s">
        <v>518</v>
      </c>
      <c r="F296" s="2">
        <v>42647</v>
      </c>
      <c r="G296" s="2"/>
      <c r="H296" s="476" t="s">
        <v>17</v>
      </c>
      <c r="I296" s="477" t="s">
        <v>18</v>
      </c>
      <c r="J296" s="3" t="s">
        <v>19</v>
      </c>
      <c r="K296" s="3"/>
    </row>
    <row r="297" spans="1:11" ht="86.4" x14ac:dyDescent="0.3">
      <c r="A297" s="3" t="s">
        <v>698</v>
      </c>
      <c r="B297" s="3" t="str">
        <f>"038190029"</f>
        <v>038190029</v>
      </c>
      <c r="C297" s="3" t="s">
        <v>699</v>
      </c>
      <c r="D297" s="3" t="s">
        <v>718</v>
      </c>
      <c r="E297" s="3" t="s">
        <v>518</v>
      </c>
      <c r="F297" s="2">
        <v>42647</v>
      </c>
      <c r="G297" s="2"/>
      <c r="H297" s="478" t="s">
        <v>17</v>
      </c>
      <c r="I297" s="479" t="s">
        <v>18</v>
      </c>
      <c r="J297" s="3" t="s">
        <v>19</v>
      </c>
      <c r="K297" s="3"/>
    </row>
    <row r="298" spans="1:11" ht="43.2" x14ac:dyDescent="0.3">
      <c r="A298" s="3" t="s">
        <v>719</v>
      </c>
      <c r="B298" s="3" t="str">
        <f>"015784046"</f>
        <v>015784046</v>
      </c>
      <c r="C298" s="3" t="s">
        <v>720</v>
      </c>
      <c r="D298" s="3" t="s">
        <v>721</v>
      </c>
      <c r="E298" s="3" t="s">
        <v>425</v>
      </c>
      <c r="F298" s="2">
        <v>42180</v>
      </c>
      <c r="G298" s="2"/>
      <c r="H298" s="480" t="s">
        <v>37</v>
      </c>
      <c r="I298" s="481" t="s">
        <v>18</v>
      </c>
      <c r="J298" s="3" t="s">
        <v>19</v>
      </c>
      <c r="K298" s="3"/>
    </row>
    <row r="299" spans="1:11" ht="43.2" x14ac:dyDescent="0.3">
      <c r="A299" s="3" t="s">
        <v>722</v>
      </c>
      <c r="B299" s="3" t="str">
        <f>"021004193"</f>
        <v>021004193</v>
      </c>
      <c r="C299" s="3" t="s">
        <v>723</v>
      </c>
      <c r="D299" s="3" t="s">
        <v>724</v>
      </c>
      <c r="E299" s="3" t="s">
        <v>161</v>
      </c>
      <c r="F299" s="2">
        <v>42551</v>
      </c>
      <c r="G299" s="2"/>
      <c r="H299" s="482" t="s">
        <v>37</v>
      </c>
      <c r="I299" s="483" t="s">
        <v>18</v>
      </c>
      <c r="J299" s="3" t="s">
        <v>19</v>
      </c>
      <c r="K299" s="3"/>
    </row>
    <row r="300" spans="1:11" ht="43.2" x14ac:dyDescent="0.3">
      <c r="A300" s="3" t="s">
        <v>725</v>
      </c>
      <c r="B300" s="3" t="str">
        <f>"041498027"</f>
        <v>041498027</v>
      </c>
      <c r="C300" s="3" t="s">
        <v>726</v>
      </c>
      <c r="D300" s="3" t="s">
        <v>727</v>
      </c>
      <c r="E300" s="3" t="s">
        <v>83</v>
      </c>
      <c r="F300" s="2">
        <v>43810</v>
      </c>
      <c r="G300" s="2"/>
      <c r="H300" s="484" t="s">
        <v>17</v>
      </c>
      <c r="I300" s="485" t="s">
        <v>18</v>
      </c>
      <c r="J300" s="3" t="s">
        <v>19</v>
      </c>
      <c r="K300" s="3"/>
    </row>
    <row r="301" spans="1:11" ht="57.6" x14ac:dyDescent="0.3">
      <c r="A301" s="3" t="s">
        <v>728</v>
      </c>
      <c r="B301" s="3" t="str">
        <f>"037130109"</f>
        <v>037130109</v>
      </c>
      <c r="C301" s="3" t="s">
        <v>726</v>
      </c>
      <c r="D301" s="3" t="s">
        <v>729</v>
      </c>
      <c r="E301" s="3" t="s">
        <v>24</v>
      </c>
      <c r="F301" s="2">
        <v>41017</v>
      </c>
      <c r="G301" s="2"/>
      <c r="H301" s="486" t="s">
        <v>17</v>
      </c>
      <c r="I301" s="487" t="s">
        <v>18</v>
      </c>
      <c r="J301" s="3" t="s">
        <v>19</v>
      </c>
      <c r="K301" s="3"/>
    </row>
    <row r="302" spans="1:11" ht="43.2" x14ac:dyDescent="0.3">
      <c r="A302" s="3" t="s">
        <v>730</v>
      </c>
      <c r="B302" s="3" t="str">
        <f>"042442032"</f>
        <v>042442032</v>
      </c>
      <c r="C302" s="3" t="s">
        <v>731</v>
      </c>
      <c r="D302" s="3" t="s">
        <v>732</v>
      </c>
      <c r="E302" s="3" t="s">
        <v>481</v>
      </c>
      <c r="F302" s="2">
        <v>43630</v>
      </c>
      <c r="G302" s="2"/>
      <c r="H302" s="488" t="s">
        <v>17</v>
      </c>
      <c r="I302" s="3" t="s">
        <v>41</v>
      </c>
      <c r="J302" s="3" t="s">
        <v>19</v>
      </c>
      <c r="K302" s="3"/>
    </row>
    <row r="303" spans="1:11" ht="43.2" x14ac:dyDescent="0.3">
      <c r="A303" s="3" t="s">
        <v>733</v>
      </c>
      <c r="B303" s="3" t="str">
        <f>"039565039"</f>
        <v>039565039</v>
      </c>
      <c r="C303" s="3" t="s">
        <v>726</v>
      </c>
      <c r="D303" s="3" t="s">
        <v>734</v>
      </c>
      <c r="E303" s="3" t="s">
        <v>56</v>
      </c>
      <c r="F303" s="2">
        <v>44043</v>
      </c>
      <c r="G303" s="2"/>
      <c r="H303" s="489" t="s">
        <v>17</v>
      </c>
      <c r="I303" s="490" t="s">
        <v>18</v>
      </c>
      <c r="J303" s="3" t="s">
        <v>19</v>
      </c>
      <c r="K303" s="3"/>
    </row>
    <row r="304" spans="1:11" ht="43.2" x14ac:dyDescent="0.3">
      <c r="A304" s="3" t="s">
        <v>733</v>
      </c>
      <c r="B304" s="3" t="str">
        <f>"039565128"</f>
        <v>039565128</v>
      </c>
      <c r="C304" s="3" t="s">
        <v>726</v>
      </c>
      <c r="D304" s="3" t="s">
        <v>735</v>
      </c>
      <c r="E304" s="3" t="s">
        <v>56</v>
      </c>
      <c r="F304" s="2">
        <v>44043</v>
      </c>
      <c r="G304" s="2"/>
      <c r="H304" s="491" t="s">
        <v>17</v>
      </c>
      <c r="I304" s="492" t="s">
        <v>18</v>
      </c>
      <c r="J304" s="3" t="s">
        <v>19</v>
      </c>
      <c r="K304" s="3"/>
    </row>
    <row r="305" spans="1:11" ht="43.2" x14ac:dyDescent="0.3">
      <c r="A305" s="3" t="s">
        <v>733</v>
      </c>
      <c r="B305" s="3" t="str">
        <f>"039565217"</f>
        <v>039565217</v>
      </c>
      <c r="C305" s="3" t="s">
        <v>726</v>
      </c>
      <c r="D305" s="3" t="s">
        <v>736</v>
      </c>
      <c r="E305" s="3" t="s">
        <v>56</v>
      </c>
      <c r="F305" s="2">
        <v>44043</v>
      </c>
      <c r="G305" s="2"/>
      <c r="H305" s="493" t="s">
        <v>17</v>
      </c>
      <c r="I305" s="494" t="s">
        <v>18</v>
      </c>
      <c r="J305" s="3" t="s">
        <v>19</v>
      </c>
      <c r="K305" s="3"/>
    </row>
    <row r="306" spans="1:11" ht="43.2" x14ac:dyDescent="0.3">
      <c r="A306" s="3" t="s">
        <v>733</v>
      </c>
      <c r="B306" s="3" t="str">
        <f>"039565306"</f>
        <v>039565306</v>
      </c>
      <c r="C306" s="3" t="s">
        <v>726</v>
      </c>
      <c r="D306" s="3" t="s">
        <v>355</v>
      </c>
      <c r="E306" s="3" t="s">
        <v>56</v>
      </c>
      <c r="F306" s="2">
        <v>44043</v>
      </c>
      <c r="G306" s="2"/>
      <c r="H306" s="495" t="s">
        <v>17</v>
      </c>
      <c r="I306" s="496" t="s">
        <v>18</v>
      </c>
      <c r="J306" s="3" t="s">
        <v>19</v>
      </c>
      <c r="K306" s="3"/>
    </row>
    <row r="307" spans="1:11" ht="43.2" x14ac:dyDescent="0.3">
      <c r="A307" s="3" t="s">
        <v>733</v>
      </c>
      <c r="B307" s="3" t="str">
        <f>"039565395"</f>
        <v>039565395</v>
      </c>
      <c r="C307" s="3" t="s">
        <v>726</v>
      </c>
      <c r="D307" s="3" t="s">
        <v>737</v>
      </c>
      <c r="E307" s="3" t="s">
        <v>56</v>
      </c>
      <c r="F307" s="2">
        <v>44043</v>
      </c>
      <c r="G307" s="2"/>
      <c r="H307" s="497" t="s">
        <v>17</v>
      </c>
      <c r="I307" s="498" t="s">
        <v>18</v>
      </c>
      <c r="J307" s="3" t="s">
        <v>19</v>
      </c>
      <c r="K307" s="3"/>
    </row>
    <row r="308" spans="1:11" ht="43.2" x14ac:dyDescent="0.3">
      <c r="A308" s="3" t="s">
        <v>738</v>
      </c>
      <c r="B308" s="3" t="str">
        <f>"044644033"</f>
        <v>044644033</v>
      </c>
      <c r="C308" s="3" t="s">
        <v>726</v>
      </c>
      <c r="D308" s="3" t="s">
        <v>739</v>
      </c>
      <c r="E308" s="3" t="s">
        <v>263</v>
      </c>
      <c r="F308" s="2">
        <v>44256</v>
      </c>
      <c r="G308" s="2"/>
      <c r="H308" s="499" t="s">
        <v>17</v>
      </c>
      <c r="I308" s="500" t="s">
        <v>18</v>
      </c>
      <c r="J308" s="3" t="s">
        <v>19</v>
      </c>
      <c r="K308" s="3"/>
    </row>
    <row r="309" spans="1:11" ht="57.6" x14ac:dyDescent="0.3">
      <c r="A309" s="3" t="s">
        <v>740</v>
      </c>
      <c r="B309" s="3" t="str">
        <f>"044084010"</f>
        <v>044084010</v>
      </c>
      <c r="C309" s="3" t="s">
        <v>741</v>
      </c>
      <c r="D309" s="3" t="s">
        <v>742</v>
      </c>
      <c r="E309" s="3" t="s">
        <v>16</v>
      </c>
      <c r="F309" s="2">
        <v>44022</v>
      </c>
      <c r="G309" s="2"/>
      <c r="H309" s="501" t="s">
        <v>17</v>
      </c>
      <c r="I309" s="502" t="s">
        <v>18</v>
      </c>
      <c r="J309" s="3" t="s">
        <v>19</v>
      </c>
      <c r="K309" s="3"/>
    </row>
    <row r="310" spans="1:11" ht="115.2" x14ac:dyDescent="0.3">
      <c r="A310" s="3" t="s">
        <v>743</v>
      </c>
      <c r="B310" s="3" t="str">
        <f>"022395026"</f>
        <v>022395026</v>
      </c>
      <c r="C310" s="3" t="s">
        <v>744</v>
      </c>
      <c r="D310" s="3" t="s">
        <v>745</v>
      </c>
      <c r="E310" s="3" t="s">
        <v>161</v>
      </c>
      <c r="F310" s="2">
        <v>43609</v>
      </c>
      <c r="G310" s="2"/>
      <c r="H310" s="503" t="s">
        <v>37</v>
      </c>
      <c r="I310" s="3" t="s">
        <v>38</v>
      </c>
      <c r="J310" s="3" t="s">
        <v>156</v>
      </c>
      <c r="K310" s="3" t="s">
        <v>746</v>
      </c>
    </row>
    <row r="311" spans="1:11" ht="43.2" x14ac:dyDescent="0.3">
      <c r="A311" s="3" t="s">
        <v>747</v>
      </c>
      <c r="B311" s="3" t="str">
        <f>"040817013"</f>
        <v>040817013</v>
      </c>
      <c r="C311" s="3" t="s">
        <v>748</v>
      </c>
      <c r="D311" s="3" t="s">
        <v>749</v>
      </c>
      <c r="E311" s="3" t="s">
        <v>750</v>
      </c>
      <c r="F311" s="2">
        <v>40968</v>
      </c>
      <c r="G311" s="2"/>
      <c r="H311" s="504" t="s">
        <v>17</v>
      </c>
      <c r="I311" s="505" t="s">
        <v>18</v>
      </c>
      <c r="J311" s="3" t="s">
        <v>19</v>
      </c>
      <c r="K311" s="3"/>
    </row>
    <row r="312" spans="1:11" ht="43.2" x14ac:dyDescent="0.3">
      <c r="A312" s="3" t="s">
        <v>751</v>
      </c>
      <c r="B312" s="3" t="str">
        <f>"033451269"</f>
        <v>033451269</v>
      </c>
      <c r="C312" s="3" t="s">
        <v>752</v>
      </c>
      <c r="D312" s="3" t="s">
        <v>753</v>
      </c>
      <c r="E312" s="3" t="s">
        <v>754</v>
      </c>
      <c r="F312" s="2">
        <v>43766</v>
      </c>
      <c r="G312" s="2">
        <v>44150</v>
      </c>
      <c r="H312" s="506" t="s">
        <v>17</v>
      </c>
      <c r="I312" s="3" t="s">
        <v>41</v>
      </c>
      <c r="J312" s="3" t="s">
        <v>19</v>
      </c>
      <c r="K312" s="3"/>
    </row>
    <row r="313" spans="1:11" ht="72" x14ac:dyDescent="0.3">
      <c r="A313" s="3" t="s">
        <v>755</v>
      </c>
      <c r="B313" s="3" t="str">
        <f>"039179015"</f>
        <v>039179015</v>
      </c>
      <c r="C313" s="3" t="s">
        <v>756</v>
      </c>
      <c r="D313" s="3" t="s">
        <v>757</v>
      </c>
      <c r="E313" s="3" t="s">
        <v>359</v>
      </c>
      <c r="F313" s="2">
        <v>43448</v>
      </c>
      <c r="G313" s="2"/>
      <c r="H313" s="507" t="s">
        <v>17</v>
      </c>
      <c r="I313" s="508" t="s">
        <v>32</v>
      </c>
      <c r="J313" s="3" t="s">
        <v>19</v>
      </c>
      <c r="K313" s="3"/>
    </row>
    <row r="314" spans="1:11" ht="72" x14ac:dyDescent="0.3">
      <c r="A314" s="3" t="s">
        <v>755</v>
      </c>
      <c r="B314" s="3" t="str">
        <f>"039179092"</f>
        <v>039179092</v>
      </c>
      <c r="C314" s="3" t="s">
        <v>756</v>
      </c>
      <c r="D314" s="3" t="s">
        <v>758</v>
      </c>
      <c r="E314" s="3" t="s">
        <v>359</v>
      </c>
      <c r="F314" s="2">
        <v>43448</v>
      </c>
      <c r="G314" s="2"/>
      <c r="H314" s="509" t="s">
        <v>17</v>
      </c>
      <c r="I314" s="510" t="s">
        <v>32</v>
      </c>
      <c r="J314" s="3" t="s">
        <v>19</v>
      </c>
      <c r="K314" s="3"/>
    </row>
    <row r="315" spans="1:11" ht="43.2" x14ac:dyDescent="0.3">
      <c r="A315" s="3" t="s">
        <v>759</v>
      </c>
      <c r="B315" s="3" t="str">
        <f>"031810017"</f>
        <v>031810017</v>
      </c>
      <c r="C315" s="3" t="s">
        <v>760</v>
      </c>
      <c r="D315" s="3" t="s">
        <v>761</v>
      </c>
      <c r="E315" s="3" t="s">
        <v>161</v>
      </c>
      <c r="F315" s="2">
        <v>44206</v>
      </c>
      <c r="G315" s="2"/>
      <c r="H315" s="511" t="s">
        <v>17</v>
      </c>
      <c r="I315" s="512" t="s">
        <v>18</v>
      </c>
      <c r="J315" s="3" t="s">
        <v>19</v>
      </c>
      <c r="K315" s="3"/>
    </row>
    <row r="316" spans="1:11" ht="43.2" x14ac:dyDescent="0.3">
      <c r="A316" s="3" t="s">
        <v>762</v>
      </c>
      <c r="B316" s="3" t="str">
        <f>"032053011"</f>
        <v>032053011</v>
      </c>
      <c r="C316" s="3" t="s">
        <v>763</v>
      </c>
      <c r="D316" s="3" t="s">
        <v>764</v>
      </c>
      <c r="E316" s="3" t="s">
        <v>425</v>
      </c>
      <c r="F316" s="2">
        <v>43435</v>
      </c>
      <c r="G316" s="2"/>
      <c r="H316" s="513" t="s">
        <v>17</v>
      </c>
      <c r="I316" s="514" t="s">
        <v>18</v>
      </c>
      <c r="J316" s="3" t="s">
        <v>19</v>
      </c>
      <c r="K316" s="3"/>
    </row>
    <row r="317" spans="1:11" ht="43.2" x14ac:dyDescent="0.3">
      <c r="A317" s="3" t="s">
        <v>765</v>
      </c>
      <c r="B317" s="3" t="str">
        <f>"043079021"</f>
        <v>043079021</v>
      </c>
      <c r="C317" s="3" t="s">
        <v>766</v>
      </c>
      <c r="D317" s="3" t="s">
        <v>767</v>
      </c>
      <c r="E317" s="3" t="s">
        <v>16</v>
      </c>
      <c r="F317" s="2">
        <v>44004</v>
      </c>
      <c r="G317" s="2">
        <v>44196</v>
      </c>
      <c r="H317" s="515" t="s">
        <v>17</v>
      </c>
      <c r="I317" s="3" t="s">
        <v>41</v>
      </c>
      <c r="J317" s="3" t="s">
        <v>19</v>
      </c>
      <c r="K317" s="3"/>
    </row>
    <row r="318" spans="1:11" ht="43.2" x14ac:dyDescent="0.3">
      <c r="A318" s="3" t="s">
        <v>765</v>
      </c>
      <c r="B318" s="3" t="str">
        <f>"043079045"</f>
        <v>043079045</v>
      </c>
      <c r="C318" s="3" t="s">
        <v>766</v>
      </c>
      <c r="D318" s="3" t="s">
        <v>768</v>
      </c>
      <c r="E318" s="3" t="s">
        <v>16</v>
      </c>
      <c r="F318" s="2">
        <v>44004</v>
      </c>
      <c r="G318" s="2">
        <v>44196</v>
      </c>
      <c r="H318" s="516" t="s">
        <v>17</v>
      </c>
      <c r="I318" s="3" t="s">
        <v>41</v>
      </c>
      <c r="J318" s="3" t="s">
        <v>19</v>
      </c>
      <c r="K318" s="3"/>
    </row>
    <row r="319" spans="1:11" ht="43.2" x14ac:dyDescent="0.3">
      <c r="A319" s="3" t="s">
        <v>769</v>
      </c>
      <c r="B319" s="3" t="str">
        <f>"043666015"</f>
        <v>043666015</v>
      </c>
      <c r="C319" s="3" t="s">
        <v>770</v>
      </c>
      <c r="D319" s="3" t="s">
        <v>771</v>
      </c>
      <c r="E319" s="3" t="s">
        <v>772</v>
      </c>
      <c r="F319" s="2">
        <v>43524</v>
      </c>
      <c r="G319" s="2">
        <v>43921</v>
      </c>
      <c r="H319" s="517" t="s">
        <v>17</v>
      </c>
      <c r="I319" s="3" t="s">
        <v>41</v>
      </c>
      <c r="J319" s="3" t="s">
        <v>19</v>
      </c>
      <c r="K319" s="3"/>
    </row>
    <row r="320" spans="1:11" ht="43.2" x14ac:dyDescent="0.3">
      <c r="A320" s="3" t="s">
        <v>773</v>
      </c>
      <c r="B320" s="3" t="str">
        <f>"042590051"</f>
        <v>042590051</v>
      </c>
      <c r="C320" s="3" t="s">
        <v>766</v>
      </c>
      <c r="D320" s="3" t="s">
        <v>774</v>
      </c>
      <c r="E320" s="3" t="s">
        <v>56</v>
      </c>
      <c r="F320" s="2">
        <v>44125</v>
      </c>
      <c r="G320" s="2">
        <v>44223</v>
      </c>
      <c r="H320" s="518" t="s">
        <v>17</v>
      </c>
      <c r="I320" s="3" t="s">
        <v>41</v>
      </c>
      <c r="J320" s="3" t="s">
        <v>19</v>
      </c>
      <c r="K320" s="3"/>
    </row>
    <row r="321" spans="1:11" ht="43.2" x14ac:dyDescent="0.3">
      <c r="A321" s="3" t="s">
        <v>775</v>
      </c>
      <c r="B321" s="3" t="str">
        <f>"043919024"</f>
        <v>043919024</v>
      </c>
      <c r="C321" s="3"/>
      <c r="D321" s="3" t="s">
        <v>776</v>
      </c>
      <c r="E321" s="3" t="s">
        <v>64</v>
      </c>
      <c r="F321" s="2">
        <v>44044</v>
      </c>
      <c r="G321" s="2"/>
      <c r="H321" s="519" t="s">
        <v>17</v>
      </c>
      <c r="I321" s="3" t="s">
        <v>41</v>
      </c>
      <c r="J321" s="3" t="s">
        <v>19</v>
      </c>
      <c r="K321" s="3"/>
    </row>
    <row r="322" spans="1:11" ht="43.2" x14ac:dyDescent="0.3">
      <c r="A322" s="3" t="s">
        <v>775</v>
      </c>
      <c r="B322" s="3" t="str">
        <f>"043919063"</f>
        <v>043919063</v>
      </c>
      <c r="C322" s="3"/>
      <c r="D322" s="3" t="s">
        <v>777</v>
      </c>
      <c r="E322" s="3" t="s">
        <v>64</v>
      </c>
      <c r="F322" s="2">
        <v>44013</v>
      </c>
      <c r="G322" s="2"/>
      <c r="H322" s="520" t="s">
        <v>17</v>
      </c>
      <c r="I322" s="3" t="s">
        <v>41</v>
      </c>
      <c r="J322" s="3" t="s">
        <v>19</v>
      </c>
      <c r="K322" s="3"/>
    </row>
    <row r="323" spans="1:11" ht="43.2" x14ac:dyDescent="0.3">
      <c r="A323" s="3" t="s">
        <v>778</v>
      </c>
      <c r="B323" s="3" t="str">
        <f>"044204042"</f>
        <v>044204042</v>
      </c>
      <c r="C323" s="3" t="s">
        <v>766</v>
      </c>
      <c r="D323" s="3" t="s">
        <v>779</v>
      </c>
      <c r="E323" s="3" t="s">
        <v>27</v>
      </c>
      <c r="F323" s="2">
        <v>43897</v>
      </c>
      <c r="G323" s="2">
        <v>43921</v>
      </c>
      <c r="H323" s="521" t="s">
        <v>17</v>
      </c>
      <c r="I323" s="3" t="s">
        <v>526</v>
      </c>
      <c r="J323" s="3" t="s">
        <v>19</v>
      </c>
      <c r="K323" s="3"/>
    </row>
    <row r="324" spans="1:11" ht="43.2" x14ac:dyDescent="0.3">
      <c r="A324" s="3" t="s">
        <v>780</v>
      </c>
      <c r="B324" s="3" t="str">
        <f>"042243028"</f>
        <v>042243028</v>
      </c>
      <c r="C324" s="3" t="s">
        <v>766</v>
      </c>
      <c r="D324" s="3" t="s">
        <v>781</v>
      </c>
      <c r="E324" s="3" t="s">
        <v>99</v>
      </c>
      <c r="F324" s="2">
        <v>43780</v>
      </c>
      <c r="G324" s="2">
        <v>44255</v>
      </c>
      <c r="H324" s="522" t="s">
        <v>17</v>
      </c>
      <c r="I324" s="3" t="s">
        <v>782</v>
      </c>
      <c r="J324" s="3" t="s">
        <v>19</v>
      </c>
      <c r="K324" s="3"/>
    </row>
    <row r="325" spans="1:11" ht="43.2" x14ac:dyDescent="0.3">
      <c r="A325" s="3" t="s">
        <v>780</v>
      </c>
      <c r="B325" s="3" t="str">
        <f>"042243081"</f>
        <v>042243081</v>
      </c>
      <c r="C325" s="3" t="s">
        <v>766</v>
      </c>
      <c r="D325" s="3" t="s">
        <v>777</v>
      </c>
      <c r="E325" s="3" t="s">
        <v>99</v>
      </c>
      <c r="F325" s="2">
        <v>43739</v>
      </c>
      <c r="G325" s="2">
        <v>44255</v>
      </c>
      <c r="H325" s="523" t="s">
        <v>17</v>
      </c>
      <c r="I325" s="3" t="s">
        <v>782</v>
      </c>
      <c r="J325" s="3" t="s">
        <v>19</v>
      </c>
      <c r="K325" s="3"/>
    </row>
    <row r="326" spans="1:11" ht="43.2" x14ac:dyDescent="0.3">
      <c r="A326" s="3" t="s">
        <v>783</v>
      </c>
      <c r="B326" s="3" t="str">
        <f>"032151134"</f>
        <v>032151134</v>
      </c>
      <c r="C326" s="3" t="s">
        <v>554</v>
      </c>
      <c r="D326" s="3" t="s">
        <v>784</v>
      </c>
      <c r="E326" s="3" t="s">
        <v>785</v>
      </c>
      <c r="F326" s="2">
        <v>44044</v>
      </c>
      <c r="G326" s="2">
        <v>44286</v>
      </c>
      <c r="H326" s="524" t="s">
        <v>37</v>
      </c>
      <c r="I326" s="3" t="s">
        <v>41</v>
      </c>
      <c r="J326" s="3" t="s">
        <v>19</v>
      </c>
      <c r="K326" s="3"/>
    </row>
    <row r="327" spans="1:11" ht="43.2" x14ac:dyDescent="0.3">
      <c r="A327" s="3" t="s">
        <v>783</v>
      </c>
      <c r="B327" s="3" t="str">
        <f>"032151146"</f>
        <v>032151146</v>
      </c>
      <c r="C327" s="3" t="s">
        <v>554</v>
      </c>
      <c r="D327" s="3" t="s">
        <v>786</v>
      </c>
      <c r="E327" s="3" t="s">
        <v>785</v>
      </c>
      <c r="F327" s="2">
        <v>44044</v>
      </c>
      <c r="G327" s="2">
        <v>44286</v>
      </c>
      <c r="H327" s="525" t="s">
        <v>37</v>
      </c>
      <c r="I327" s="3" t="s">
        <v>41</v>
      </c>
      <c r="J327" s="3" t="s">
        <v>19</v>
      </c>
      <c r="K327" s="3"/>
    </row>
    <row r="328" spans="1:11" ht="43.2" x14ac:dyDescent="0.3">
      <c r="A328" s="3" t="s">
        <v>783</v>
      </c>
      <c r="B328" s="3" t="str">
        <f>"032151197"</f>
        <v>032151197</v>
      </c>
      <c r="C328" s="3" t="s">
        <v>554</v>
      </c>
      <c r="D328" s="3" t="s">
        <v>787</v>
      </c>
      <c r="E328" s="3" t="s">
        <v>785</v>
      </c>
      <c r="F328" s="2">
        <v>43191</v>
      </c>
      <c r="G328" s="2"/>
      <c r="H328" s="526" t="s">
        <v>17</v>
      </c>
      <c r="I328" s="527" t="s">
        <v>18</v>
      </c>
      <c r="J328" s="3" t="s">
        <v>19</v>
      </c>
      <c r="K328" s="3"/>
    </row>
    <row r="329" spans="1:11" ht="43.2" x14ac:dyDescent="0.3">
      <c r="A329" s="3" t="s">
        <v>783</v>
      </c>
      <c r="B329" s="3" t="str">
        <f>"032151209"</f>
        <v>032151209</v>
      </c>
      <c r="C329" s="3" t="s">
        <v>554</v>
      </c>
      <c r="D329" s="3" t="s">
        <v>788</v>
      </c>
      <c r="E329" s="3" t="s">
        <v>785</v>
      </c>
      <c r="F329" s="2">
        <v>43191</v>
      </c>
      <c r="G329" s="2"/>
      <c r="H329" s="528" t="s">
        <v>17</v>
      </c>
      <c r="I329" s="529" t="s">
        <v>18</v>
      </c>
      <c r="J329" s="3" t="s">
        <v>19</v>
      </c>
      <c r="K329" s="3"/>
    </row>
    <row r="330" spans="1:11" ht="43.2" x14ac:dyDescent="0.3">
      <c r="A330" s="3" t="s">
        <v>783</v>
      </c>
      <c r="B330" s="3" t="str">
        <f>"032151211"</f>
        <v>032151211</v>
      </c>
      <c r="C330" s="3" t="s">
        <v>554</v>
      </c>
      <c r="D330" s="3" t="s">
        <v>789</v>
      </c>
      <c r="E330" s="3" t="s">
        <v>785</v>
      </c>
      <c r="F330" s="2">
        <v>44044</v>
      </c>
      <c r="G330" s="2">
        <v>44286</v>
      </c>
      <c r="H330" s="530" t="s">
        <v>37</v>
      </c>
      <c r="I330" s="3" t="s">
        <v>41</v>
      </c>
      <c r="J330" s="3" t="s">
        <v>19</v>
      </c>
      <c r="K330" s="3"/>
    </row>
    <row r="331" spans="1:11" ht="43.2" x14ac:dyDescent="0.3">
      <c r="A331" s="3" t="s">
        <v>783</v>
      </c>
      <c r="B331" s="3" t="str">
        <f>"032151223"</f>
        <v>032151223</v>
      </c>
      <c r="C331" s="3" t="s">
        <v>554</v>
      </c>
      <c r="D331" s="3" t="s">
        <v>790</v>
      </c>
      <c r="E331" s="3" t="s">
        <v>785</v>
      </c>
      <c r="F331" s="2">
        <v>44044</v>
      </c>
      <c r="G331" s="2">
        <v>44286</v>
      </c>
      <c r="H331" s="531" t="s">
        <v>37</v>
      </c>
      <c r="I331" s="3" t="s">
        <v>41</v>
      </c>
      <c r="J331" s="3" t="s">
        <v>19</v>
      </c>
      <c r="K331" s="3"/>
    </row>
    <row r="332" spans="1:11" ht="57.6" x14ac:dyDescent="0.3">
      <c r="A332" s="3" t="s">
        <v>791</v>
      </c>
      <c r="B332" s="3" t="str">
        <f>"042627012"</f>
        <v>042627012</v>
      </c>
      <c r="C332" s="3" t="s">
        <v>792</v>
      </c>
      <c r="D332" s="3" t="s">
        <v>793</v>
      </c>
      <c r="E332" s="3" t="s">
        <v>794</v>
      </c>
      <c r="F332" s="2">
        <v>43497</v>
      </c>
      <c r="G332" s="2"/>
      <c r="H332" s="532" t="s">
        <v>17</v>
      </c>
      <c r="I332" s="533" t="s">
        <v>32</v>
      </c>
      <c r="J332" s="3" t="s">
        <v>19</v>
      </c>
      <c r="K332" s="3"/>
    </row>
    <row r="333" spans="1:11" ht="43.2" x14ac:dyDescent="0.3">
      <c r="A333" s="3" t="s">
        <v>795</v>
      </c>
      <c r="B333" s="3" t="str">
        <f>"026781106"</f>
        <v>026781106</v>
      </c>
      <c r="C333" s="3" t="s">
        <v>796</v>
      </c>
      <c r="D333" s="3" t="s">
        <v>797</v>
      </c>
      <c r="E333" s="3" t="s">
        <v>798</v>
      </c>
      <c r="F333" s="2">
        <v>43717</v>
      </c>
      <c r="G333" s="2"/>
      <c r="H333" s="534" t="s">
        <v>17</v>
      </c>
      <c r="I333" s="535" t="s">
        <v>32</v>
      </c>
      <c r="J333" s="3" t="s">
        <v>19</v>
      </c>
      <c r="K333" s="3"/>
    </row>
    <row r="334" spans="1:11" ht="43.2" x14ac:dyDescent="0.3">
      <c r="A334" s="3" t="s">
        <v>795</v>
      </c>
      <c r="B334" s="3" t="str">
        <f>"026781070"</f>
        <v>026781070</v>
      </c>
      <c r="C334" s="3" t="s">
        <v>796</v>
      </c>
      <c r="D334" s="3" t="s">
        <v>799</v>
      </c>
      <c r="E334" s="3" t="s">
        <v>798</v>
      </c>
      <c r="F334" s="2">
        <v>43717</v>
      </c>
      <c r="G334" s="2"/>
      <c r="H334" s="536" t="s">
        <v>17</v>
      </c>
      <c r="I334" s="537" t="s">
        <v>32</v>
      </c>
      <c r="J334" s="3" t="s">
        <v>19</v>
      </c>
      <c r="K334" s="3"/>
    </row>
    <row r="335" spans="1:11" ht="43.2" x14ac:dyDescent="0.3">
      <c r="A335" s="3" t="s">
        <v>800</v>
      </c>
      <c r="B335" s="3" t="str">
        <f>"024154054"</f>
        <v>024154054</v>
      </c>
      <c r="C335" s="3" t="s">
        <v>801</v>
      </c>
      <c r="D335" s="3" t="s">
        <v>802</v>
      </c>
      <c r="E335" s="3" t="s">
        <v>803</v>
      </c>
      <c r="F335" s="2">
        <v>41477</v>
      </c>
      <c r="G335" s="2"/>
      <c r="H335" s="538" t="s">
        <v>37</v>
      </c>
      <c r="I335" s="539" t="s">
        <v>32</v>
      </c>
      <c r="J335" s="3" t="s">
        <v>19</v>
      </c>
      <c r="K335" s="3"/>
    </row>
    <row r="336" spans="1:11" ht="43.2" x14ac:dyDescent="0.3">
      <c r="A336" s="3" t="s">
        <v>804</v>
      </c>
      <c r="B336" s="3" t="str">
        <f>"025824095"</f>
        <v>025824095</v>
      </c>
      <c r="C336" s="3" t="s">
        <v>805</v>
      </c>
      <c r="D336" s="3" t="s">
        <v>806</v>
      </c>
      <c r="E336" s="3" t="s">
        <v>543</v>
      </c>
      <c r="F336" s="2">
        <v>43970</v>
      </c>
      <c r="G336" s="2"/>
      <c r="H336" s="540" t="s">
        <v>17</v>
      </c>
      <c r="I336" s="541" t="s">
        <v>18</v>
      </c>
      <c r="J336" s="3" t="s">
        <v>19</v>
      </c>
      <c r="K336" s="3"/>
    </row>
    <row r="337" spans="1:11" ht="43.2" x14ac:dyDescent="0.3">
      <c r="A337" s="3" t="s">
        <v>807</v>
      </c>
      <c r="B337" s="3" t="str">
        <f>"027371071"</f>
        <v>027371071</v>
      </c>
      <c r="C337" s="3" t="s">
        <v>805</v>
      </c>
      <c r="D337" s="3" t="s">
        <v>808</v>
      </c>
      <c r="E337" s="3" t="s">
        <v>809</v>
      </c>
      <c r="F337" s="2">
        <v>44256</v>
      </c>
      <c r="G337" s="2"/>
      <c r="H337" s="542" t="s">
        <v>17</v>
      </c>
      <c r="I337" s="543" t="s">
        <v>18</v>
      </c>
      <c r="J337" s="3" t="s">
        <v>19</v>
      </c>
      <c r="K337" s="3"/>
    </row>
    <row r="338" spans="1:11" ht="43.2" x14ac:dyDescent="0.3">
      <c r="A338" s="3" t="s">
        <v>810</v>
      </c>
      <c r="B338" s="3" t="str">
        <f>"034535017"</f>
        <v>034535017</v>
      </c>
      <c r="C338" s="3" t="s">
        <v>811</v>
      </c>
      <c r="D338" s="3" t="s">
        <v>812</v>
      </c>
      <c r="E338" s="3" t="s">
        <v>813</v>
      </c>
      <c r="F338" s="2">
        <v>43784</v>
      </c>
      <c r="G338" s="2">
        <v>44150</v>
      </c>
      <c r="H338" s="544" t="s">
        <v>17</v>
      </c>
      <c r="I338" s="3" t="s">
        <v>41</v>
      </c>
      <c r="J338" s="3" t="s">
        <v>19</v>
      </c>
      <c r="K338" s="3"/>
    </row>
    <row r="339" spans="1:11" ht="43.2" x14ac:dyDescent="0.3">
      <c r="A339" s="3" t="s">
        <v>810</v>
      </c>
      <c r="B339" s="3" t="str">
        <f>"034535029"</f>
        <v>034535029</v>
      </c>
      <c r="C339" s="3" t="s">
        <v>811</v>
      </c>
      <c r="D339" s="3" t="s">
        <v>814</v>
      </c>
      <c r="E339" s="3" t="s">
        <v>813</v>
      </c>
      <c r="F339" s="2">
        <v>43784</v>
      </c>
      <c r="G339" s="2">
        <v>44150</v>
      </c>
      <c r="H339" s="545" t="s">
        <v>17</v>
      </c>
      <c r="I339" s="3" t="s">
        <v>41</v>
      </c>
      <c r="J339" s="3" t="s">
        <v>19</v>
      </c>
      <c r="K339" s="3"/>
    </row>
    <row r="340" spans="1:11" ht="43.2" x14ac:dyDescent="0.3">
      <c r="A340" s="3" t="s">
        <v>815</v>
      </c>
      <c r="B340" s="3" t="str">
        <f>"036472025"</f>
        <v>036472025</v>
      </c>
      <c r="C340" s="3" t="s">
        <v>816</v>
      </c>
      <c r="D340" s="3" t="s">
        <v>817</v>
      </c>
      <c r="E340" s="3" t="s">
        <v>74</v>
      </c>
      <c r="F340" s="2">
        <v>41000</v>
      </c>
      <c r="G340" s="2"/>
      <c r="H340" s="546" t="s">
        <v>17</v>
      </c>
      <c r="I340" s="547" t="s">
        <v>32</v>
      </c>
      <c r="J340" s="3" t="s">
        <v>19</v>
      </c>
      <c r="K340" s="3"/>
    </row>
    <row r="341" spans="1:11" ht="43.2" x14ac:dyDescent="0.3">
      <c r="A341" s="3" t="s">
        <v>815</v>
      </c>
      <c r="B341" s="3" t="str">
        <f>"036472013"</f>
        <v>036472013</v>
      </c>
      <c r="C341" s="3" t="s">
        <v>816</v>
      </c>
      <c r="D341" s="3" t="s">
        <v>818</v>
      </c>
      <c r="E341" s="3" t="s">
        <v>74</v>
      </c>
      <c r="F341" s="2">
        <v>41000</v>
      </c>
      <c r="G341" s="2"/>
      <c r="H341" s="548" t="s">
        <v>17</v>
      </c>
      <c r="I341" s="549" t="s">
        <v>32</v>
      </c>
      <c r="J341" s="3" t="s">
        <v>19</v>
      </c>
      <c r="K341" s="3"/>
    </row>
    <row r="342" spans="1:11" ht="43.2" x14ac:dyDescent="0.3">
      <c r="A342" s="3" t="s">
        <v>819</v>
      </c>
      <c r="B342" s="3" t="str">
        <f>"036033037"</f>
        <v>036033037</v>
      </c>
      <c r="C342" s="3" t="s">
        <v>816</v>
      </c>
      <c r="D342" s="3" t="s">
        <v>820</v>
      </c>
      <c r="E342" s="3" t="s">
        <v>83</v>
      </c>
      <c r="F342" s="2">
        <v>44043</v>
      </c>
      <c r="G342" s="2"/>
      <c r="H342" s="550" t="s">
        <v>17</v>
      </c>
      <c r="I342" s="551" t="s">
        <v>18</v>
      </c>
      <c r="J342" s="3" t="s">
        <v>19</v>
      </c>
      <c r="K342" s="3"/>
    </row>
    <row r="343" spans="1:11" ht="43.2" x14ac:dyDescent="0.3">
      <c r="A343" s="3" t="s">
        <v>821</v>
      </c>
      <c r="B343" s="3" t="str">
        <f>"035954027"</f>
        <v>035954027</v>
      </c>
      <c r="C343" s="3" t="s">
        <v>816</v>
      </c>
      <c r="D343" s="3" t="s">
        <v>822</v>
      </c>
      <c r="E343" s="3" t="s">
        <v>263</v>
      </c>
      <c r="F343" s="2">
        <v>40908</v>
      </c>
      <c r="G343" s="2"/>
      <c r="H343" s="552" t="s">
        <v>17</v>
      </c>
      <c r="I343" s="553" t="s">
        <v>18</v>
      </c>
      <c r="J343" s="3" t="s">
        <v>19</v>
      </c>
      <c r="K343" s="3"/>
    </row>
    <row r="344" spans="1:11" ht="43.2" x14ac:dyDescent="0.3">
      <c r="A344" s="3" t="s">
        <v>821</v>
      </c>
      <c r="B344" s="3" t="str">
        <f>"035954015"</f>
        <v>035954015</v>
      </c>
      <c r="C344" s="3" t="s">
        <v>816</v>
      </c>
      <c r="D344" s="3" t="s">
        <v>823</v>
      </c>
      <c r="E344" s="3" t="s">
        <v>263</v>
      </c>
      <c r="F344" s="2">
        <v>40908</v>
      </c>
      <c r="G344" s="2"/>
      <c r="H344" s="554" t="s">
        <v>17</v>
      </c>
      <c r="I344" s="555" t="s">
        <v>18</v>
      </c>
      <c r="J344" s="3" t="s">
        <v>19</v>
      </c>
      <c r="K344" s="3"/>
    </row>
    <row r="345" spans="1:11" ht="43.2" x14ac:dyDescent="0.3">
      <c r="A345" s="3" t="s">
        <v>824</v>
      </c>
      <c r="B345" s="3" t="str">
        <f>"035967025"</f>
        <v>035967025</v>
      </c>
      <c r="C345" s="3" t="s">
        <v>816</v>
      </c>
      <c r="D345" s="3" t="s">
        <v>822</v>
      </c>
      <c r="E345" s="3" t="s">
        <v>64</v>
      </c>
      <c r="F345" s="2">
        <v>41590</v>
      </c>
      <c r="G345" s="2"/>
      <c r="H345" s="556" t="s">
        <v>17</v>
      </c>
      <c r="I345" s="557" t="s">
        <v>18</v>
      </c>
      <c r="J345" s="3" t="s">
        <v>19</v>
      </c>
      <c r="K345" s="3"/>
    </row>
    <row r="346" spans="1:11" ht="43.2" x14ac:dyDescent="0.3">
      <c r="A346" s="3" t="s">
        <v>824</v>
      </c>
      <c r="B346" s="3" t="str">
        <f>"035967013"</f>
        <v>035967013</v>
      </c>
      <c r="C346" s="3" t="s">
        <v>816</v>
      </c>
      <c r="D346" s="3" t="s">
        <v>823</v>
      </c>
      <c r="E346" s="3" t="s">
        <v>64</v>
      </c>
      <c r="F346" s="2">
        <v>41590</v>
      </c>
      <c r="G346" s="2"/>
      <c r="H346" s="558" t="s">
        <v>17</v>
      </c>
      <c r="I346" s="559" t="s">
        <v>18</v>
      </c>
      <c r="J346" s="3" t="s">
        <v>19</v>
      </c>
      <c r="K346" s="3"/>
    </row>
    <row r="347" spans="1:11" ht="43.2" x14ac:dyDescent="0.3">
      <c r="A347" s="3" t="s">
        <v>824</v>
      </c>
      <c r="B347" s="3" t="str">
        <f>"035967037"</f>
        <v>035967037</v>
      </c>
      <c r="C347" s="3" t="s">
        <v>816</v>
      </c>
      <c r="D347" s="3" t="s">
        <v>825</v>
      </c>
      <c r="E347" s="3" t="s">
        <v>64</v>
      </c>
      <c r="F347" s="2">
        <v>44105</v>
      </c>
      <c r="G347" s="2"/>
      <c r="H347" s="560" t="s">
        <v>17</v>
      </c>
      <c r="I347" s="3" t="s">
        <v>41</v>
      </c>
      <c r="J347" s="3" t="s">
        <v>19</v>
      </c>
      <c r="K347" s="3"/>
    </row>
    <row r="348" spans="1:11" ht="43.2" x14ac:dyDescent="0.3">
      <c r="A348" s="3" t="s">
        <v>826</v>
      </c>
      <c r="B348" s="3" t="str">
        <f>"026609053"</f>
        <v>026609053</v>
      </c>
      <c r="C348" s="3" t="s">
        <v>827</v>
      </c>
      <c r="D348" s="3" t="s">
        <v>828</v>
      </c>
      <c r="E348" s="3" t="s">
        <v>173</v>
      </c>
      <c r="F348" s="2">
        <v>43814</v>
      </c>
      <c r="G348" s="2">
        <v>44561</v>
      </c>
      <c r="H348" s="561" t="s">
        <v>17</v>
      </c>
      <c r="I348" s="3" t="s">
        <v>41</v>
      </c>
      <c r="J348" s="3" t="s">
        <v>19</v>
      </c>
      <c r="K348" s="3"/>
    </row>
    <row r="349" spans="1:11" ht="43.2" x14ac:dyDescent="0.3">
      <c r="A349" s="3" t="s">
        <v>829</v>
      </c>
      <c r="B349" s="3" t="str">
        <f>"026029090"</f>
        <v>026029090</v>
      </c>
      <c r="C349" s="3" t="s">
        <v>827</v>
      </c>
      <c r="D349" s="3" t="s">
        <v>830</v>
      </c>
      <c r="E349" s="3" t="s">
        <v>831</v>
      </c>
      <c r="F349" s="2">
        <v>43890</v>
      </c>
      <c r="G349" s="2">
        <v>44196</v>
      </c>
      <c r="H349" s="562" t="s">
        <v>17</v>
      </c>
      <c r="I349" s="3" t="s">
        <v>41</v>
      </c>
      <c r="J349" s="3" t="s">
        <v>19</v>
      </c>
      <c r="K349" s="3"/>
    </row>
    <row r="350" spans="1:11" ht="43.2" x14ac:dyDescent="0.3">
      <c r="A350" s="3" t="s">
        <v>832</v>
      </c>
      <c r="B350" s="3" t="str">
        <f>"021285010"</f>
        <v>021285010</v>
      </c>
      <c r="C350" s="3" t="s">
        <v>833</v>
      </c>
      <c r="D350" s="3" t="s">
        <v>834</v>
      </c>
      <c r="E350" s="3" t="s">
        <v>835</v>
      </c>
      <c r="F350" s="2">
        <v>43713</v>
      </c>
      <c r="G350" s="2">
        <v>43862</v>
      </c>
      <c r="H350" s="563" t="s">
        <v>37</v>
      </c>
      <c r="I350" s="564" t="s">
        <v>32</v>
      </c>
      <c r="J350" s="3" t="s">
        <v>19</v>
      </c>
      <c r="K350" s="3"/>
    </row>
    <row r="351" spans="1:11" ht="43.2" x14ac:dyDescent="0.3">
      <c r="A351" s="3" t="s">
        <v>836</v>
      </c>
      <c r="B351" s="3" t="str">
        <f>"005408012"</f>
        <v>005408012</v>
      </c>
      <c r="C351" s="3" t="s">
        <v>837</v>
      </c>
      <c r="D351" s="3" t="s">
        <v>838</v>
      </c>
      <c r="E351" s="3" t="s">
        <v>835</v>
      </c>
      <c r="F351" s="2">
        <v>44104</v>
      </c>
      <c r="G351" s="2"/>
      <c r="H351" s="565" t="s">
        <v>17</v>
      </c>
      <c r="I351" s="566" t="s">
        <v>18</v>
      </c>
      <c r="J351" s="3" t="s">
        <v>19</v>
      </c>
      <c r="K351" s="3"/>
    </row>
    <row r="352" spans="1:11" ht="86.4" x14ac:dyDescent="0.3">
      <c r="A352" s="3" t="s">
        <v>839</v>
      </c>
      <c r="B352" s="3" t="str">
        <f>"042021042"</f>
        <v>042021042</v>
      </c>
      <c r="C352" s="3" t="s">
        <v>840</v>
      </c>
      <c r="D352" s="3" t="s">
        <v>841</v>
      </c>
      <c r="E352" s="3" t="s">
        <v>842</v>
      </c>
      <c r="F352" s="2">
        <v>44043</v>
      </c>
      <c r="G352" s="2"/>
      <c r="H352" s="567" t="s">
        <v>37</v>
      </c>
      <c r="I352" s="3" t="s">
        <v>843</v>
      </c>
      <c r="J352" s="3" t="s">
        <v>39</v>
      </c>
      <c r="K352" s="3"/>
    </row>
    <row r="353" spans="1:11" ht="43.2" x14ac:dyDescent="0.3">
      <c r="A353" s="3" t="s">
        <v>844</v>
      </c>
      <c r="B353" s="3" t="str">
        <f>"036922021"</f>
        <v>036922021</v>
      </c>
      <c r="C353" s="3" t="s">
        <v>692</v>
      </c>
      <c r="D353" s="3" t="s">
        <v>845</v>
      </c>
      <c r="E353" s="3" t="s">
        <v>846</v>
      </c>
      <c r="F353" s="2">
        <v>43621</v>
      </c>
      <c r="G353" s="2">
        <v>43646</v>
      </c>
      <c r="H353" s="568" t="s">
        <v>17</v>
      </c>
      <c r="I353" s="3" t="s">
        <v>41</v>
      </c>
      <c r="J353" s="3" t="s">
        <v>19</v>
      </c>
      <c r="K353" s="3"/>
    </row>
    <row r="354" spans="1:11" ht="43.2" x14ac:dyDescent="0.3">
      <c r="A354" s="3" t="s">
        <v>847</v>
      </c>
      <c r="B354" s="3" t="str">
        <f>"034589162"</f>
        <v>034589162</v>
      </c>
      <c r="C354" s="3" t="s">
        <v>848</v>
      </c>
      <c r="D354" s="3" t="s">
        <v>849</v>
      </c>
      <c r="E354" s="3" t="s">
        <v>850</v>
      </c>
      <c r="F354" s="2">
        <v>44012</v>
      </c>
      <c r="G354" s="2"/>
      <c r="H354" s="569" t="s">
        <v>17</v>
      </c>
      <c r="I354" s="570" t="s">
        <v>18</v>
      </c>
      <c r="J354" s="3" t="s">
        <v>19</v>
      </c>
      <c r="K354" s="3"/>
    </row>
    <row r="355" spans="1:11" ht="43.2" x14ac:dyDescent="0.3">
      <c r="A355" s="3" t="s">
        <v>851</v>
      </c>
      <c r="B355" s="3" t="str">
        <f>"040643013"</f>
        <v>040643013</v>
      </c>
      <c r="C355" s="3" t="s">
        <v>248</v>
      </c>
      <c r="D355" s="3" t="s">
        <v>852</v>
      </c>
      <c r="E355" s="3" t="s">
        <v>64</v>
      </c>
      <c r="F355" s="2">
        <v>44075</v>
      </c>
      <c r="G355" s="2"/>
      <c r="H355" s="571" t="s">
        <v>17</v>
      </c>
      <c r="I355" s="3" t="s">
        <v>41</v>
      </c>
      <c r="J355" s="3" t="s">
        <v>19</v>
      </c>
      <c r="K355" s="3"/>
    </row>
    <row r="356" spans="1:11" ht="43.2" x14ac:dyDescent="0.3">
      <c r="A356" s="3" t="s">
        <v>853</v>
      </c>
      <c r="B356" s="3" t="str">
        <f>"039279017"</f>
        <v>039279017</v>
      </c>
      <c r="C356" s="3" t="s">
        <v>854</v>
      </c>
      <c r="D356" s="3" t="s">
        <v>855</v>
      </c>
      <c r="E356" s="3" t="s">
        <v>161</v>
      </c>
      <c r="F356" s="2">
        <v>43725</v>
      </c>
      <c r="G356" s="2"/>
      <c r="H356" s="572" t="s">
        <v>17</v>
      </c>
      <c r="I356" s="3" t="s">
        <v>41</v>
      </c>
      <c r="J356" s="3" t="s">
        <v>19</v>
      </c>
      <c r="K356" s="3"/>
    </row>
    <row r="357" spans="1:11" ht="43.2" x14ac:dyDescent="0.3">
      <c r="A357" s="3" t="s">
        <v>856</v>
      </c>
      <c r="B357" s="3" t="str">
        <f>"038742019"</f>
        <v>038742019</v>
      </c>
      <c r="C357" s="3" t="s">
        <v>479</v>
      </c>
      <c r="D357" s="3" t="s">
        <v>857</v>
      </c>
      <c r="E357" s="3" t="s">
        <v>161</v>
      </c>
      <c r="F357" s="2">
        <v>43936</v>
      </c>
      <c r="G357" s="2"/>
      <c r="H357" s="573" t="s">
        <v>17</v>
      </c>
      <c r="I357" s="574" t="s">
        <v>18</v>
      </c>
      <c r="J357" s="3" t="s">
        <v>19</v>
      </c>
      <c r="K357" s="3"/>
    </row>
    <row r="358" spans="1:11" ht="100.8" x14ac:dyDescent="0.3">
      <c r="A358" s="3" t="s">
        <v>858</v>
      </c>
      <c r="B358" s="3" t="str">
        <f>"041276015"</f>
        <v>041276015</v>
      </c>
      <c r="C358" s="3" t="s">
        <v>859</v>
      </c>
      <c r="D358" s="3" t="s">
        <v>860</v>
      </c>
      <c r="E358" s="3" t="s">
        <v>861</v>
      </c>
      <c r="F358" s="2">
        <v>43283</v>
      </c>
      <c r="G358" s="2"/>
      <c r="H358" s="575" t="s">
        <v>17</v>
      </c>
      <c r="I358" s="576" t="s">
        <v>18</v>
      </c>
      <c r="J358" s="3" t="s">
        <v>19</v>
      </c>
      <c r="K358" s="3"/>
    </row>
    <row r="359" spans="1:11" ht="129.6" x14ac:dyDescent="0.3">
      <c r="A359" s="3" t="s">
        <v>858</v>
      </c>
      <c r="B359" s="3" t="str">
        <f>"041276039"</f>
        <v>041276039</v>
      </c>
      <c r="C359" s="3" t="s">
        <v>859</v>
      </c>
      <c r="D359" s="3" t="s">
        <v>862</v>
      </c>
      <c r="E359" s="3" t="s">
        <v>861</v>
      </c>
      <c r="F359" s="2">
        <v>44530</v>
      </c>
      <c r="G359" s="2"/>
      <c r="H359" s="577" t="s">
        <v>17</v>
      </c>
      <c r="I359" s="578" t="s">
        <v>18</v>
      </c>
      <c r="J359" s="3" t="s">
        <v>19</v>
      </c>
      <c r="K359" s="3"/>
    </row>
    <row r="360" spans="1:11" ht="43.2" x14ac:dyDescent="0.3">
      <c r="A360" s="3" t="s">
        <v>863</v>
      </c>
      <c r="B360" s="3" t="str">
        <f>"037576028"</f>
        <v>037576028</v>
      </c>
      <c r="C360" s="3" t="s">
        <v>864</v>
      </c>
      <c r="D360" s="3" t="s">
        <v>865</v>
      </c>
      <c r="E360" s="3" t="s">
        <v>103</v>
      </c>
      <c r="F360" s="2">
        <v>44102</v>
      </c>
      <c r="G360" s="2">
        <v>44286</v>
      </c>
      <c r="H360" s="579" t="s">
        <v>17</v>
      </c>
      <c r="I360" s="3" t="s">
        <v>41</v>
      </c>
      <c r="J360" s="3" t="s">
        <v>19</v>
      </c>
      <c r="K360" s="3"/>
    </row>
    <row r="361" spans="1:11" ht="43.2" x14ac:dyDescent="0.3">
      <c r="A361" s="3" t="s">
        <v>863</v>
      </c>
      <c r="B361" s="3" t="str">
        <f>"037576220"</f>
        <v>037576220</v>
      </c>
      <c r="C361" s="3" t="s">
        <v>864</v>
      </c>
      <c r="D361" s="3" t="s">
        <v>866</v>
      </c>
      <c r="E361" s="3" t="s">
        <v>103</v>
      </c>
      <c r="F361" s="2">
        <v>44026</v>
      </c>
      <c r="G361" s="2">
        <v>44104</v>
      </c>
      <c r="H361" s="580" t="s">
        <v>17</v>
      </c>
      <c r="I361" s="3" t="s">
        <v>104</v>
      </c>
      <c r="J361" s="3" t="s">
        <v>19</v>
      </c>
      <c r="K361" s="3"/>
    </row>
    <row r="362" spans="1:11" ht="43.2" x14ac:dyDescent="0.3">
      <c r="A362" s="3" t="s">
        <v>867</v>
      </c>
      <c r="B362" s="3" t="str">
        <f>"042248017"</f>
        <v>042248017</v>
      </c>
      <c r="C362" s="3" t="s">
        <v>864</v>
      </c>
      <c r="D362" s="3" t="s">
        <v>868</v>
      </c>
      <c r="E362" s="3" t="s">
        <v>518</v>
      </c>
      <c r="F362" s="2">
        <v>43054</v>
      </c>
      <c r="G362" s="2"/>
      <c r="H362" s="581" t="s">
        <v>37</v>
      </c>
      <c r="I362" s="582" t="s">
        <v>18</v>
      </c>
      <c r="J362" s="3" t="s">
        <v>19</v>
      </c>
      <c r="K362" s="3"/>
    </row>
    <row r="363" spans="1:11" ht="43.2" x14ac:dyDescent="0.3">
      <c r="A363" s="3" t="s">
        <v>867</v>
      </c>
      <c r="B363" s="3" t="str">
        <f>"042248031"</f>
        <v>042248031</v>
      </c>
      <c r="C363" s="3" t="s">
        <v>864</v>
      </c>
      <c r="D363" s="3" t="s">
        <v>869</v>
      </c>
      <c r="E363" s="3" t="s">
        <v>518</v>
      </c>
      <c r="F363" s="2">
        <v>43063</v>
      </c>
      <c r="G363" s="2"/>
      <c r="H363" s="583" t="s">
        <v>37</v>
      </c>
      <c r="I363" s="584" t="s">
        <v>18</v>
      </c>
      <c r="J363" s="3" t="s">
        <v>19</v>
      </c>
      <c r="K363" s="3"/>
    </row>
    <row r="364" spans="1:11" ht="43.2" x14ac:dyDescent="0.3">
      <c r="A364" s="3" t="s">
        <v>870</v>
      </c>
      <c r="B364" s="3" t="str">
        <f>"008701017"</f>
        <v>008701017</v>
      </c>
      <c r="C364" s="3" t="s">
        <v>871</v>
      </c>
      <c r="D364" s="3" t="s">
        <v>872</v>
      </c>
      <c r="E364" s="3" t="s">
        <v>873</v>
      </c>
      <c r="F364" s="2">
        <v>44001</v>
      </c>
      <c r="G364" s="2">
        <v>44165</v>
      </c>
      <c r="H364" s="585" t="s">
        <v>37</v>
      </c>
      <c r="I364" s="586" t="s">
        <v>32</v>
      </c>
      <c r="J364" s="3" t="s">
        <v>19</v>
      </c>
      <c r="K364" s="3"/>
    </row>
    <row r="365" spans="1:11" ht="43.2" x14ac:dyDescent="0.3">
      <c r="A365" s="3" t="s">
        <v>870</v>
      </c>
      <c r="B365" s="3" t="str">
        <f>"008701031"</f>
        <v>008701031</v>
      </c>
      <c r="C365" s="3" t="s">
        <v>871</v>
      </c>
      <c r="D365" s="3" t="s">
        <v>874</v>
      </c>
      <c r="E365" s="3" t="s">
        <v>873</v>
      </c>
      <c r="F365" s="2">
        <v>43511</v>
      </c>
      <c r="G365" s="2"/>
      <c r="H365" s="587" t="s">
        <v>37</v>
      </c>
      <c r="I365" s="588" t="s">
        <v>32</v>
      </c>
      <c r="J365" s="3" t="s">
        <v>19</v>
      </c>
      <c r="K365" s="3"/>
    </row>
    <row r="366" spans="1:11" ht="43.2" x14ac:dyDescent="0.3">
      <c r="A366" s="3" t="s">
        <v>875</v>
      </c>
      <c r="B366" s="3" t="str">
        <f>"034643015"</f>
        <v>034643015</v>
      </c>
      <c r="C366" s="3" t="s">
        <v>876</v>
      </c>
      <c r="D366" s="3" t="s">
        <v>877</v>
      </c>
      <c r="E366" s="3" t="s">
        <v>878</v>
      </c>
      <c r="F366" s="2">
        <v>44104</v>
      </c>
      <c r="G366" s="2">
        <v>44469</v>
      </c>
      <c r="H366" s="589" t="s">
        <v>17</v>
      </c>
      <c r="I366" s="590" t="s">
        <v>32</v>
      </c>
      <c r="J366" s="3" t="s">
        <v>19</v>
      </c>
      <c r="K366" s="3"/>
    </row>
    <row r="367" spans="1:11" ht="43.2" x14ac:dyDescent="0.3">
      <c r="A367" s="3" t="s">
        <v>879</v>
      </c>
      <c r="B367" s="3" t="str">
        <f>"028819011"</f>
        <v>028819011</v>
      </c>
      <c r="C367" s="3" t="s">
        <v>880</v>
      </c>
      <c r="D367" s="3" t="s">
        <v>881</v>
      </c>
      <c r="E367" s="3" t="s">
        <v>882</v>
      </c>
      <c r="F367" s="2">
        <v>45047</v>
      </c>
      <c r="G367" s="2"/>
      <c r="H367" s="591" t="s">
        <v>37</v>
      </c>
      <c r="I367" s="592" t="s">
        <v>18</v>
      </c>
      <c r="J367" s="3" t="s">
        <v>19</v>
      </c>
      <c r="K367" s="3"/>
    </row>
    <row r="368" spans="1:11" ht="43.2" x14ac:dyDescent="0.3">
      <c r="A368" s="3" t="s">
        <v>883</v>
      </c>
      <c r="B368" s="3" t="str">
        <f>"036159010"</f>
        <v>036159010</v>
      </c>
      <c r="C368" s="3" t="s">
        <v>884</v>
      </c>
      <c r="D368" s="3" t="s">
        <v>885</v>
      </c>
      <c r="E368" s="3" t="s">
        <v>27</v>
      </c>
      <c r="F368" s="2">
        <v>41699</v>
      </c>
      <c r="G368" s="2"/>
      <c r="H368" s="593" t="s">
        <v>17</v>
      </c>
      <c r="I368" s="594" t="s">
        <v>18</v>
      </c>
      <c r="J368" s="3" t="s">
        <v>19</v>
      </c>
      <c r="K368" s="3"/>
    </row>
    <row r="369" spans="1:11" ht="43.2" x14ac:dyDescent="0.3">
      <c r="A369" s="3" t="s">
        <v>883</v>
      </c>
      <c r="B369" s="3" t="str">
        <f>"036159022"</f>
        <v>036159022</v>
      </c>
      <c r="C369" s="3" t="s">
        <v>884</v>
      </c>
      <c r="D369" s="3" t="s">
        <v>886</v>
      </c>
      <c r="E369" s="3" t="s">
        <v>27</v>
      </c>
      <c r="F369" s="2">
        <v>43708</v>
      </c>
      <c r="G369" s="2"/>
      <c r="H369" s="595" t="s">
        <v>17</v>
      </c>
      <c r="I369" s="596" t="s">
        <v>18</v>
      </c>
      <c r="J369" s="3" t="s">
        <v>19</v>
      </c>
      <c r="K369" s="3"/>
    </row>
    <row r="370" spans="1:11" ht="43.2" x14ac:dyDescent="0.3">
      <c r="A370" s="3" t="s">
        <v>883</v>
      </c>
      <c r="B370" s="3" t="str">
        <f>"036159034"</f>
        <v>036159034</v>
      </c>
      <c r="C370" s="3" t="s">
        <v>884</v>
      </c>
      <c r="D370" s="3" t="s">
        <v>887</v>
      </c>
      <c r="E370" s="3" t="s">
        <v>27</v>
      </c>
      <c r="F370" s="2">
        <v>43686</v>
      </c>
      <c r="G370" s="2"/>
      <c r="H370" s="597" t="s">
        <v>17</v>
      </c>
      <c r="I370" s="598" t="s">
        <v>18</v>
      </c>
      <c r="J370" s="3" t="s">
        <v>19</v>
      </c>
      <c r="K370" s="3"/>
    </row>
    <row r="371" spans="1:11" ht="43.2" x14ac:dyDescent="0.3">
      <c r="A371" s="3" t="s">
        <v>888</v>
      </c>
      <c r="B371" s="3" t="str">
        <f>"022579128"</f>
        <v>022579128</v>
      </c>
      <c r="C371" s="3" t="s">
        <v>889</v>
      </c>
      <c r="D371" s="3" t="s">
        <v>890</v>
      </c>
      <c r="E371" s="3" t="s">
        <v>750</v>
      </c>
      <c r="F371" s="2">
        <v>42493</v>
      </c>
      <c r="G371" s="2"/>
      <c r="H371" s="599" t="s">
        <v>37</v>
      </c>
      <c r="I371" s="600" t="s">
        <v>18</v>
      </c>
      <c r="J371" s="3" t="s">
        <v>19</v>
      </c>
      <c r="K371" s="3"/>
    </row>
    <row r="372" spans="1:11" ht="43.2" x14ac:dyDescent="0.3">
      <c r="A372" s="3" t="s">
        <v>888</v>
      </c>
      <c r="B372" s="3" t="str">
        <f>"022579193"</f>
        <v>022579193</v>
      </c>
      <c r="C372" s="3" t="s">
        <v>889</v>
      </c>
      <c r="D372" s="3" t="s">
        <v>891</v>
      </c>
      <c r="E372" s="3" t="s">
        <v>750</v>
      </c>
      <c r="F372" s="2">
        <v>42493</v>
      </c>
      <c r="G372" s="2"/>
      <c r="H372" s="601" t="s">
        <v>17</v>
      </c>
      <c r="I372" s="602" t="s">
        <v>18</v>
      </c>
      <c r="J372" s="3" t="s">
        <v>19</v>
      </c>
      <c r="K372" s="3"/>
    </row>
    <row r="373" spans="1:11" ht="43.2" x14ac:dyDescent="0.3">
      <c r="A373" s="3" t="s">
        <v>892</v>
      </c>
      <c r="B373" s="3" t="str">
        <f>"038918013"</f>
        <v>038918013</v>
      </c>
      <c r="C373" s="3" t="s">
        <v>893</v>
      </c>
      <c r="D373" s="3" t="s">
        <v>894</v>
      </c>
      <c r="E373" s="3" t="s">
        <v>895</v>
      </c>
      <c r="F373" s="2">
        <v>43612</v>
      </c>
      <c r="G373" s="2"/>
      <c r="H373" s="603" t="s">
        <v>17</v>
      </c>
      <c r="I373" s="3" t="s">
        <v>41</v>
      </c>
      <c r="J373" s="3" t="s">
        <v>19</v>
      </c>
      <c r="K373" s="3"/>
    </row>
    <row r="374" spans="1:11" ht="43.2" x14ac:dyDescent="0.3">
      <c r="A374" s="3" t="s">
        <v>896</v>
      </c>
      <c r="B374" s="3" t="str">
        <f>"035102021"</f>
        <v>035102021</v>
      </c>
      <c r="C374" s="3" t="s">
        <v>880</v>
      </c>
      <c r="D374" s="3" t="s">
        <v>897</v>
      </c>
      <c r="E374" s="3" t="s">
        <v>56</v>
      </c>
      <c r="F374" s="2">
        <v>44049</v>
      </c>
      <c r="G374" s="2">
        <v>44211</v>
      </c>
      <c r="H374" s="604" t="s">
        <v>17</v>
      </c>
      <c r="I374" s="3" t="s">
        <v>178</v>
      </c>
      <c r="J374" s="3" t="s">
        <v>19</v>
      </c>
      <c r="K374" s="3"/>
    </row>
    <row r="375" spans="1:11" ht="43.2" x14ac:dyDescent="0.3">
      <c r="A375" s="3" t="s">
        <v>898</v>
      </c>
      <c r="B375" s="3" t="str">
        <f>"005259015"</f>
        <v>005259015</v>
      </c>
      <c r="C375" s="3" t="s">
        <v>899</v>
      </c>
      <c r="D375" s="3" t="s">
        <v>900</v>
      </c>
      <c r="E375" s="3" t="s">
        <v>107</v>
      </c>
      <c r="F375" s="2">
        <v>43298</v>
      </c>
      <c r="G375" s="2"/>
      <c r="H375" s="605" t="s">
        <v>37</v>
      </c>
      <c r="I375" s="3" t="s">
        <v>41</v>
      </c>
      <c r="J375" s="3" t="s">
        <v>19</v>
      </c>
      <c r="K375" s="3"/>
    </row>
    <row r="376" spans="1:11" ht="43.2" x14ac:dyDescent="0.3">
      <c r="A376" s="3" t="s">
        <v>898</v>
      </c>
      <c r="B376" s="3" t="str">
        <f>"005259041"</f>
        <v>005259041</v>
      </c>
      <c r="C376" s="3" t="s">
        <v>899</v>
      </c>
      <c r="D376" s="3" t="s">
        <v>901</v>
      </c>
      <c r="E376" s="3" t="s">
        <v>107</v>
      </c>
      <c r="F376" s="2">
        <v>43952</v>
      </c>
      <c r="G376" s="2"/>
      <c r="H376" s="606" t="s">
        <v>37</v>
      </c>
      <c r="I376" s="3" t="s">
        <v>41</v>
      </c>
      <c r="J376" s="3" t="s">
        <v>19</v>
      </c>
      <c r="K376" s="3"/>
    </row>
    <row r="377" spans="1:11" ht="57.6" x14ac:dyDescent="0.3">
      <c r="A377" s="3" t="s">
        <v>902</v>
      </c>
      <c r="B377" s="3" t="str">
        <f>"027488016"</f>
        <v>027488016</v>
      </c>
      <c r="C377" s="3" t="s">
        <v>903</v>
      </c>
      <c r="D377" s="3" t="s">
        <v>904</v>
      </c>
      <c r="E377" s="3" t="s">
        <v>147</v>
      </c>
      <c r="F377" s="2">
        <v>36526</v>
      </c>
      <c r="G377" s="2"/>
      <c r="H377" s="607" t="s">
        <v>37</v>
      </c>
      <c r="I377" s="608" t="s">
        <v>18</v>
      </c>
      <c r="J377" s="3" t="s">
        <v>19</v>
      </c>
      <c r="K377" s="3"/>
    </row>
    <row r="378" spans="1:11" ht="57.6" x14ac:dyDescent="0.3">
      <c r="A378" s="3" t="s">
        <v>902</v>
      </c>
      <c r="B378" s="3" t="str">
        <f>"027488028"</f>
        <v>027488028</v>
      </c>
      <c r="C378" s="3" t="s">
        <v>903</v>
      </c>
      <c r="D378" s="3" t="s">
        <v>905</v>
      </c>
      <c r="E378" s="3" t="s">
        <v>147</v>
      </c>
      <c r="F378" s="2">
        <v>36526</v>
      </c>
      <c r="G378" s="2"/>
      <c r="H378" s="609" t="s">
        <v>37</v>
      </c>
      <c r="I378" s="610" t="s">
        <v>18</v>
      </c>
      <c r="J378" s="3" t="s">
        <v>19</v>
      </c>
      <c r="K378" s="3"/>
    </row>
    <row r="379" spans="1:11" ht="43.2" x14ac:dyDescent="0.3">
      <c r="A379" s="3" t="s">
        <v>906</v>
      </c>
      <c r="B379" s="3" t="str">
        <f>"042841039"</f>
        <v>042841039</v>
      </c>
      <c r="C379" s="3" t="s">
        <v>752</v>
      </c>
      <c r="D379" s="3" t="s">
        <v>907</v>
      </c>
      <c r="E379" s="3" t="s">
        <v>83</v>
      </c>
      <c r="F379" s="2">
        <v>43563</v>
      </c>
      <c r="G379" s="2"/>
      <c r="H379" s="611" t="s">
        <v>17</v>
      </c>
      <c r="I379" s="3" t="s">
        <v>41</v>
      </c>
      <c r="J379" s="3" t="s">
        <v>19</v>
      </c>
      <c r="K379" s="3"/>
    </row>
    <row r="380" spans="1:11" ht="43.2" x14ac:dyDescent="0.3">
      <c r="A380" s="3" t="s">
        <v>908</v>
      </c>
      <c r="B380" s="3" t="str">
        <f>"042971022"</f>
        <v>042971022</v>
      </c>
      <c r="C380" s="3" t="s">
        <v>909</v>
      </c>
      <c r="D380" s="3" t="s">
        <v>910</v>
      </c>
      <c r="E380" s="3" t="s">
        <v>83</v>
      </c>
      <c r="F380" s="2">
        <v>43965</v>
      </c>
      <c r="G380" s="2"/>
      <c r="H380" s="612" t="s">
        <v>17</v>
      </c>
      <c r="I380" s="3" t="s">
        <v>41</v>
      </c>
      <c r="J380" s="3" t="s">
        <v>19</v>
      </c>
      <c r="K380" s="3"/>
    </row>
    <row r="381" spans="1:11" ht="43.2" x14ac:dyDescent="0.3">
      <c r="A381" s="3" t="s">
        <v>908</v>
      </c>
      <c r="B381" s="3" t="str">
        <f>"042971059"</f>
        <v>042971059</v>
      </c>
      <c r="C381" s="3" t="s">
        <v>909</v>
      </c>
      <c r="D381" s="3" t="s">
        <v>911</v>
      </c>
      <c r="E381" s="3" t="s">
        <v>83</v>
      </c>
      <c r="F381" s="2">
        <v>43703</v>
      </c>
      <c r="G381" s="2"/>
      <c r="H381" s="613" t="s">
        <v>17</v>
      </c>
      <c r="I381" s="3" t="s">
        <v>41</v>
      </c>
      <c r="J381" s="3" t="s">
        <v>19</v>
      </c>
      <c r="K381" s="3"/>
    </row>
    <row r="382" spans="1:11" ht="43.2" x14ac:dyDescent="0.3">
      <c r="A382" s="3" t="s">
        <v>908</v>
      </c>
      <c r="B382" s="3" t="str">
        <f>"042971085"</f>
        <v>042971085</v>
      </c>
      <c r="C382" s="3" t="s">
        <v>909</v>
      </c>
      <c r="D382" s="3" t="s">
        <v>912</v>
      </c>
      <c r="E382" s="3" t="s">
        <v>83</v>
      </c>
      <c r="F382" s="2">
        <v>44003</v>
      </c>
      <c r="G382" s="2"/>
      <c r="H382" s="614" t="s">
        <v>17</v>
      </c>
      <c r="I382" s="3" t="s">
        <v>41</v>
      </c>
      <c r="J382" s="3" t="s">
        <v>19</v>
      </c>
      <c r="K382" s="3"/>
    </row>
    <row r="383" spans="1:11" ht="43.2" x14ac:dyDescent="0.3">
      <c r="A383" s="3" t="s">
        <v>913</v>
      </c>
      <c r="B383" s="3" t="str">
        <f>"040969040"</f>
        <v>040969040</v>
      </c>
      <c r="C383" s="3" t="s">
        <v>752</v>
      </c>
      <c r="D383" s="3" t="s">
        <v>914</v>
      </c>
      <c r="E383" s="3" t="s">
        <v>56</v>
      </c>
      <c r="F383" s="2">
        <v>43074</v>
      </c>
      <c r="G383" s="2"/>
      <c r="H383" s="615" t="s">
        <v>17</v>
      </c>
      <c r="I383" s="616" t="s">
        <v>18</v>
      </c>
      <c r="J383" s="3" t="s">
        <v>19</v>
      </c>
      <c r="K383" s="3"/>
    </row>
    <row r="384" spans="1:11" ht="43.2" x14ac:dyDescent="0.3">
      <c r="A384" s="3" t="s">
        <v>913</v>
      </c>
      <c r="B384" s="3" t="str">
        <f>"040969053"</f>
        <v>040969053</v>
      </c>
      <c r="C384" s="3" t="s">
        <v>752</v>
      </c>
      <c r="D384" s="3" t="s">
        <v>915</v>
      </c>
      <c r="E384" s="3" t="s">
        <v>56</v>
      </c>
      <c r="F384" s="2">
        <v>43074</v>
      </c>
      <c r="G384" s="2"/>
      <c r="H384" s="617" t="s">
        <v>17</v>
      </c>
      <c r="I384" s="618" t="s">
        <v>18</v>
      </c>
      <c r="J384" s="3" t="s">
        <v>19</v>
      </c>
      <c r="K384" s="3"/>
    </row>
    <row r="385" spans="1:11" ht="43.2" x14ac:dyDescent="0.3">
      <c r="A385" s="3" t="s">
        <v>916</v>
      </c>
      <c r="B385" s="3" t="str">
        <f>"040913131"</f>
        <v>040913131</v>
      </c>
      <c r="C385" s="3" t="s">
        <v>752</v>
      </c>
      <c r="D385" s="3" t="s">
        <v>917</v>
      </c>
      <c r="E385" s="3" t="s">
        <v>56</v>
      </c>
      <c r="F385" s="2">
        <v>44226</v>
      </c>
      <c r="G385" s="2">
        <v>44377</v>
      </c>
      <c r="H385" s="619" t="s">
        <v>17</v>
      </c>
      <c r="I385" s="3" t="s">
        <v>41</v>
      </c>
      <c r="J385" s="3" t="s">
        <v>19</v>
      </c>
      <c r="K385" s="3"/>
    </row>
    <row r="386" spans="1:11" ht="43.2" x14ac:dyDescent="0.3">
      <c r="A386" s="3" t="s">
        <v>918</v>
      </c>
      <c r="B386" s="3" t="str">
        <f>"041138304"</f>
        <v>041138304</v>
      </c>
      <c r="C386" s="3" t="s">
        <v>752</v>
      </c>
      <c r="D386" s="3" t="s">
        <v>919</v>
      </c>
      <c r="E386" s="3" t="s">
        <v>107</v>
      </c>
      <c r="F386" s="2">
        <v>44002</v>
      </c>
      <c r="G386" s="2"/>
      <c r="H386" s="620" t="s">
        <v>17</v>
      </c>
      <c r="I386" s="3" t="s">
        <v>41</v>
      </c>
      <c r="J386" s="3" t="s">
        <v>19</v>
      </c>
      <c r="K386" s="3"/>
    </row>
    <row r="387" spans="1:11" ht="43.2" x14ac:dyDescent="0.3">
      <c r="A387" s="3" t="s">
        <v>920</v>
      </c>
      <c r="B387" s="3" t="str">
        <f>"042640058"</f>
        <v>042640058</v>
      </c>
      <c r="C387" s="3" t="s">
        <v>921</v>
      </c>
      <c r="D387" s="3" t="s">
        <v>922</v>
      </c>
      <c r="E387" s="3" t="s">
        <v>16</v>
      </c>
      <c r="F387" s="2">
        <v>43070</v>
      </c>
      <c r="G387" s="2"/>
      <c r="H387" s="621" t="s">
        <v>17</v>
      </c>
      <c r="I387" s="622" t="s">
        <v>18</v>
      </c>
      <c r="J387" s="3" t="s">
        <v>19</v>
      </c>
      <c r="K387" s="3"/>
    </row>
    <row r="388" spans="1:11" ht="43.2" x14ac:dyDescent="0.3">
      <c r="A388" s="3" t="s">
        <v>920</v>
      </c>
      <c r="B388" s="3" t="str">
        <f>"042640110"</f>
        <v>042640110</v>
      </c>
      <c r="C388" s="3" t="s">
        <v>921</v>
      </c>
      <c r="D388" s="3" t="s">
        <v>923</v>
      </c>
      <c r="E388" s="3" t="s">
        <v>16</v>
      </c>
      <c r="F388" s="2">
        <v>43070</v>
      </c>
      <c r="G388" s="2"/>
      <c r="H388" s="623" t="s">
        <v>17</v>
      </c>
      <c r="I388" s="624" t="s">
        <v>18</v>
      </c>
      <c r="J388" s="3" t="s">
        <v>19</v>
      </c>
      <c r="K388" s="3"/>
    </row>
    <row r="389" spans="1:11" ht="57.6" x14ac:dyDescent="0.3">
      <c r="A389" s="3" t="s">
        <v>920</v>
      </c>
      <c r="B389" s="3" t="str">
        <f>"042640185"</f>
        <v>042640185</v>
      </c>
      <c r="C389" s="3" t="s">
        <v>921</v>
      </c>
      <c r="D389" s="3" t="s">
        <v>924</v>
      </c>
      <c r="E389" s="3" t="s">
        <v>16</v>
      </c>
      <c r="F389" s="2">
        <v>43070</v>
      </c>
      <c r="G389" s="2"/>
      <c r="H389" s="625" t="s">
        <v>17</v>
      </c>
      <c r="I389" s="626" t="s">
        <v>18</v>
      </c>
      <c r="J389" s="3" t="s">
        <v>19</v>
      </c>
      <c r="K389" s="3"/>
    </row>
    <row r="390" spans="1:11" ht="43.2" x14ac:dyDescent="0.3">
      <c r="A390" s="3" t="s">
        <v>925</v>
      </c>
      <c r="B390" s="3" t="str">
        <f>"042501181"</f>
        <v>042501181</v>
      </c>
      <c r="C390" s="3" t="s">
        <v>921</v>
      </c>
      <c r="D390" s="3" t="s">
        <v>926</v>
      </c>
      <c r="E390" s="3" t="s">
        <v>927</v>
      </c>
      <c r="F390" s="2">
        <v>42826</v>
      </c>
      <c r="G390" s="2"/>
      <c r="H390" s="627" t="s">
        <v>17</v>
      </c>
      <c r="I390" s="628" t="s">
        <v>32</v>
      </c>
      <c r="J390" s="3" t="s">
        <v>19</v>
      </c>
      <c r="K390" s="3"/>
    </row>
    <row r="391" spans="1:11" ht="57.6" x14ac:dyDescent="0.3">
      <c r="A391" s="3" t="s">
        <v>928</v>
      </c>
      <c r="B391" s="3" t="str">
        <f>"042286029"</f>
        <v>042286029</v>
      </c>
      <c r="C391" s="3" t="s">
        <v>921</v>
      </c>
      <c r="D391" s="3" t="s">
        <v>929</v>
      </c>
      <c r="E391" s="3" t="s">
        <v>122</v>
      </c>
      <c r="F391" s="2">
        <v>42125</v>
      </c>
      <c r="G391" s="2"/>
      <c r="H391" s="629" t="s">
        <v>17</v>
      </c>
      <c r="I391" s="630" t="s">
        <v>18</v>
      </c>
      <c r="J391" s="3" t="s">
        <v>19</v>
      </c>
      <c r="K391" s="3"/>
    </row>
    <row r="392" spans="1:11" ht="57.6" x14ac:dyDescent="0.3">
      <c r="A392" s="3" t="s">
        <v>928</v>
      </c>
      <c r="B392" s="3" t="str">
        <f>"042286017"</f>
        <v>042286017</v>
      </c>
      <c r="C392" s="3" t="s">
        <v>921</v>
      </c>
      <c r="D392" s="3" t="s">
        <v>930</v>
      </c>
      <c r="E392" s="3" t="s">
        <v>122</v>
      </c>
      <c r="F392" s="2">
        <v>42156</v>
      </c>
      <c r="G392" s="2"/>
      <c r="H392" s="631" t="s">
        <v>17</v>
      </c>
      <c r="I392" s="632" t="s">
        <v>18</v>
      </c>
      <c r="J392" s="3" t="s">
        <v>19</v>
      </c>
      <c r="K392" s="3"/>
    </row>
    <row r="393" spans="1:11" ht="43.2" x14ac:dyDescent="0.3">
      <c r="A393" s="3" t="s">
        <v>931</v>
      </c>
      <c r="B393" s="3" t="str">
        <f>"041928045"</f>
        <v>041928045</v>
      </c>
      <c r="C393" s="3" t="s">
        <v>921</v>
      </c>
      <c r="D393" s="3" t="s">
        <v>932</v>
      </c>
      <c r="E393" s="3" t="s">
        <v>99</v>
      </c>
      <c r="F393" s="2">
        <v>43951</v>
      </c>
      <c r="G393" s="2">
        <v>44135</v>
      </c>
      <c r="H393" s="633" t="s">
        <v>17</v>
      </c>
      <c r="I393" s="3" t="s">
        <v>178</v>
      </c>
      <c r="J393" s="3" t="s">
        <v>19</v>
      </c>
      <c r="K393" s="3"/>
    </row>
    <row r="394" spans="1:11" ht="43.2" x14ac:dyDescent="0.3">
      <c r="A394" s="3" t="s">
        <v>933</v>
      </c>
      <c r="B394" s="3" t="str">
        <f>"036769014"</f>
        <v>036769014</v>
      </c>
      <c r="C394" s="3" t="s">
        <v>934</v>
      </c>
      <c r="D394" s="3" t="s">
        <v>935</v>
      </c>
      <c r="E394" s="3" t="s">
        <v>107</v>
      </c>
      <c r="F394" s="2">
        <v>42893</v>
      </c>
      <c r="G394" s="2"/>
      <c r="H394" s="634" t="s">
        <v>17</v>
      </c>
      <c r="I394" s="635" t="s">
        <v>18</v>
      </c>
      <c r="J394" s="3" t="s">
        <v>19</v>
      </c>
      <c r="K394" s="3"/>
    </row>
    <row r="395" spans="1:11" ht="43.2" x14ac:dyDescent="0.3">
      <c r="A395" s="3" t="s">
        <v>936</v>
      </c>
      <c r="B395" s="3" t="str">
        <f>"037944016"</f>
        <v>037944016</v>
      </c>
      <c r="C395" s="3" t="s">
        <v>937</v>
      </c>
      <c r="D395" s="3" t="s">
        <v>938</v>
      </c>
      <c r="E395" s="3" t="s">
        <v>939</v>
      </c>
      <c r="F395" s="2">
        <v>43112</v>
      </c>
      <c r="G395" s="2"/>
      <c r="H395" s="636" t="s">
        <v>17</v>
      </c>
      <c r="I395" s="637" t="s">
        <v>32</v>
      </c>
      <c r="J395" s="3" t="s">
        <v>19</v>
      </c>
      <c r="K395" s="3"/>
    </row>
    <row r="396" spans="1:11" ht="43.2" x14ac:dyDescent="0.3">
      <c r="A396" s="3" t="s">
        <v>936</v>
      </c>
      <c r="B396" s="3" t="str">
        <f>"037944028"</f>
        <v>037944028</v>
      </c>
      <c r="C396" s="3" t="s">
        <v>937</v>
      </c>
      <c r="D396" s="3" t="s">
        <v>940</v>
      </c>
      <c r="E396" s="3" t="s">
        <v>939</v>
      </c>
      <c r="F396" s="2">
        <v>43112</v>
      </c>
      <c r="G396" s="2"/>
      <c r="H396" s="638" t="s">
        <v>17</v>
      </c>
      <c r="I396" s="639" t="s">
        <v>32</v>
      </c>
      <c r="J396" s="3" t="s">
        <v>19</v>
      </c>
      <c r="K396" s="3"/>
    </row>
    <row r="397" spans="1:11" ht="43.2" x14ac:dyDescent="0.3">
      <c r="A397" s="3" t="s">
        <v>936</v>
      </c>
      <c r="B397" s="3" t="str">
        <f>"037944030"</f>
        <v>037944030</v>
      </c>
      <c r="C397" s="3" t="s">
        <v>937</v>
      </c>
      <c r="D397" s="3" t="s">
        <v>941</v>
      </c>
      <c r="E397" s="3" t="s">
        <v>939</v>
      </c>
      <c r="F397" s="2">
        <v>43112</v>
      </c>
      <c r="G397" s="2"/>
      <c r="H397" s="640" t="s">
        <v>17</v>
      </c>
      <c r="I397" s="641" t="s">
        <v>32</v>
      </c>
      <c r="J397" s="3" t="s">
        <v>19</v>
      </c>
      <c r="K397" s="3"/>
    </row>
    <row r="398" spans="1:11" ht="43.2" x14ac:dyDescent="0.3">
      <c r="A398" s="3" t="s">
        <v>942</v>
      </c>
      <c r="B398" s="3" t="str">
        <f>"039263025"</f>
        <v>039263025</v>
      </c>
      <c r="C398" s="3" t="s">
        <v>943</v>
      </c>
      <c r="D398" s="3" t="s">
        <v>944</v>
      </c>
      <c r="E398" s="3" t="s">
        <v>16</v>
      </c>
      <c r="F398" s="2">
        <v>44153</v>
      </c>
      <c r="G398" s="2">
        <v>44286</v>
      </c>
      <c r="H398" s="642" t="s">
        <v>17</v>
      </c>
      <c r="I398" s="3" t="s">
        <v>41</v>
      </c>
      <c r="J398" s="3" t="s">
        <v>19</v>
      </c>
      <c r="K398" s="3"/>
    </row>
    <row r="399" spans="1:11" ht="43.2" x14ac:dyDescent="0.3">
      <c r="A399" s="3" t="s">
        <v>942</v>
      </c>
      <c r="B399" s="3" t="str">
        <f>"039263049"</f>
        <v>039263049</v>
      </c>
      <c r="C399" s="3" t="s">
        <v>943</v>
      </c>
      <c r="D399" s="3" t="s">
        <v>945</v>
      </c>
      <c r="E399" s="3" t="s">
        <v>16</v>
      </c>
      <c r="F399" s="2">
        <v>44065</v>
      </c>
      <c r="G399" s="2">
        <v>44196</v>
      </c>
      <c r="H399" s="643" t="s">
        <v>17</v>
      </c>
      <c r="I399" s="3" t="s">
        <v>41</v>
      </c>
      <c r="J399" s="3" t="s">
        <v>19</v>
      </c>
      <c r="K399" s="3"/>
    </row>
    <row r="400" spans="1:11" ht="43.2" x14ac:dyDescent="0.3">
      <c r="A400" s="3" t="s">
        <v>946</v>
      </c>
      <c r="B400" s="3" t="str">
        <f>"039990015"</f>
        <v>039990015</v>
      </c>
      <c r="C400" s="3" t="s">
        <v>943</v>
      </c>
      <c r="D400" s="3" t="s">
        <v>947</v>
      </c>
      <c r="E400" s="3" t="s">
        <v>83</v>
      </c>
      <c r="F400" s="2">
        <v>43686</v>
      </c>
      <c r="G400" s="2"/>
      <c r="H400" s="644" t="s">
        <v>17</v>
      </c>
      <c r="I400" s="3" t="s">
        <v>41</v>
      </c>
      <c r="J400" s="3" t="s">
        <v>19</v>
      </c>
      <c r="K400" s="3"/>
    </row>
    <row r="401" spans="1:11" ht="43.2" x14ac:dyDescent="0.3">
      <c r="A401" s="3" t="s">
        <v>946</v>
      </c>
      <c r="B401" s="3" t="str">
        <f>"039990039"</f>
        <v>039990039</v>
      </c>
      <c r="C401" s="3" t="s">
        <v>943</v>
      </c>
      <c r="D401" s="3" t="s">
        <v>948</v>
      </c>
      <c r="E401" s="3" t="s">
        <v>83</v>
      </c>
      <c r="F401" s="2">
        <v>44013</v>
      </c>
      <c r="G401" s="2"/>
      <c r="H401" s="645" t="s">
        <v>17</v>
      </c>
      <c r="I401" s="3" t="s">
        <v>41</v>
      </c>
      <c r="J401" s="3" t="s">
        <v>19</v>
      </c>
      <c r="K401" s="3"/>
    </row>
    <row r="402" spans="1:11" ht="43.2" x14ac:dyDescent="0.3">
      <c r="A402" s="3" t="s">
        <v>946</v>
      </c>
      <c r="B402" s="3" t="str">
        <f>"039990041"</f>
        <v>039990041</v>
      </c>
      <c r="C402" s="3" t="s">
        <v>943</v>
      </c>
      <c r="D402" s="3" t="s">
        <v>949</v>
      </c>
      <c r="E402" s="3" t="s">
        <v>83</v>
      </c>
      <c r="F402" s="2">
        <v>43795</v>
      </c>
      <c r="G402" s="2"/>
      <c r="H402" s="646" t="s">
        <v>17</v>
      </c>
      <c r="I402" s="3" t="s">
        <v>41</v>
      </c>
      <c r="J402" s="3" t="s">
        <v>19</v>
      </c>
      <c r="K402" s="3"/>
    </row>
    <row r="403" spans="1:11" ht="43.2" x14ac:dyDescent="0.3">
      <c r="A403" s="3" t="s">
        <v>946</v>
      </c>
      <c r="B403" s="3" t="str">
        <f>"039990054"</f>
        <v>039990054</v>
      </c>
      <c r="C403" s="3" t="s">
        <v>943</v>
      </c>
      <c r="D403" s="3" t="s">
        <v>950</v>
      </c>
      <c r="E403" s="3" t="s">
        <v>83</v>
      </c>
      <c r="F403" s="2">
        <v>43734</v>
      </c>
      <c r="G403" s="2"/>
      <c r="H403" s="647" t="s">
        <v>17</v>
      </c>
      <c r="I403" s="3" t="s">
        <v>41</v>
      </c>
      <c r="J403" s="3" t="s">
        <v>19</v>
      </c>
      <c r="K403" s="3"/>
    </row>
    <row r="404" spans="1:11" ht="43.2" x14ac:dyDescent="0.3">
      <c r="A404" s="3" t="s">
        <v>951</v>
      </c>
      <c r="B404" s="3" t="str">
        <f>"028491013"</f>
        <v>028491013</v>
      </c>
      <c r="C404" s="3" t="s">
        <v>943</v>
      </c>
      <c r="D404" s="3" t="s">
        <v>952</v>
      </c>
      <c r="E404" s="3" t="s">
        <v>412</v>
      </c>
      <c r="F404" s="2">
        <v>42985</v>
      </c>
      <c r="G404" s="2"/>
      <c r="H404" s="648" t="s">
        <v>17</v>
      </c>
      <c r="I404" s="649" t="s">
        <v>18</v>
      </c>
      <c r="J404" s="3" t="s">
        <v>19</v>
      </c>
      <c r="K404" s="3"/>
    </row>
    <row r="405" spans="1:11" ht="43.2" x14ac:dyDescent="0.3">
      <c r="A405" s="3" t="s">
        <v>951</v>
      </c>
      <c r="B405" s="3" t="str">
        <f>"028491025"</f>
        <v>028491025</v>
      </c>
      <c r="C405" s="3" t="s">
        <v>943</v>
      </c>
      <c r="D405" s="3" t="s">
        <v>953</v>
      </c>
      <c r="E405" s="3" t="s">
        <v>412</v>
      </c>
      <c r="F405" s="2">
        <v>43034</v>
      </c>
      <c r="G405" s="2"/>
      <c r="H405" s="650" t="s">
        <v>17</v>
      </c>
      <c r="I405" s="651" t="s">
        <v>18</v>
      </c>
      <c r="J405" s="3" t="s">
        <v>19</v>
      </c>
      <c r="K405" s="3"/>
    </row>
    <row r="406" spans="1:11" ht="43.2" x14ac:dyDescent="0.3">
      <c r="A406" s="3" t="s">
        <v>951</v>
      </c>
      <c r="B406" s="3" t="str">
        <f>"028491037"</f>
        <v>028491037</v>
      </c>
      <c r="C406" s="3" t="s">
        <v>943</v>
      </c>
      <c r="D406" s="3" t="s">
        <v>954</v>
      </c>
      <c r="E406" s="3" t="s">
        <v>412</v>
      </c>
      <c r="F406" s="2">
        <v>43060</v>
      </c>
      <c r="G406" s="2"/>
      <c r="H406" s="652" t="s">
        <v>17</v>
      </c>
      <c r="I406" s="653" t="s">
        <v>18</v>
      </c>
      <c r="J406" s="3" t="s">
        <v>19</v>
      </c>
      <c r="K406" s="3"/>
    </row>
    <row r="407" spans="1:11" ht="57.6" x14ac:dyDescent="0.3">
      <c r="A407" s="3" t="s">
        <v>951</v>
      </c>
      <c r="B407" s="3" t="str">
        <f>"028491076"</f>
        <v>028491076</v>
      </c>
      <c r="C407" s="3" t="s">
        <v>943</v>
      </c>
      <c r="D407" s="3" t="s">
        <v>955</v>
      </c>
      <c r="E407" s="3" t="s">
        <v>412</v>
      </c>
      <c r="F407" s="2">
        <v>43201</v>
      </c>
      <c r="G407" s="2"/>
      <c r="H407" s="654" t="s">
        <v>17</v>
      </c>
      <c r="I407" s="655" t="s">
        <v>18</v>
      </c>
      <c r="J407" s="3" t="s">
        <v>19</v>
      </c>
      <c r="K407" s="3"/>
    </row>
    <row r="408" spans="1:11" ht="72" x14ac:dyDescent="0.3">
      <c r="A408" s="3" t="s">
        <v>956</v>
      </c>
      <c r="B408" s="3" t="str">
        <f>"028601019"</f>
        <v>028601019</v>
      </c>
      <c r="C408" s="3" t="s">
        <v>957</v>
      </c>
      <c r="D408" s="3" t="s">
        <v>958</v>
      </c>
      <c r="E408" s="3" t="s">
        <v>959</v>
      </c>
      <c r="F408" s="2">
        <v>42135</v>
      </c>
      <c r="G408" s="2"/>
      <c r="H408" s="656" t="s">
        <v>37</v>
      </c>
      <c r="I408" s="3" t="s">
        <v>41</v>
      </c>
      <c r="J408" s="3" t="s">
        <v>19</v>
      </c>
      <c r="K408" s="3"/>
    </row>
    <row r="409" spans="1:11" ht="86.4" x14ac:dyDescent="0.3">
      <c r="A409" s="3" t="s">
        <v>960</v>
      </c>
      <c r="B409" s="3" t="str">
        <f>"036154019"</f>
        <v>036154019</v>
      </c>
      <c r="C409" s="3" t="s">
        <v>961</v>
      </c>
      <c r="D409" s="3" t="s">
        <v>962</v>
      </c>
      <c r="E409" s="3" t="s">
        <v>211</v>
      </c>
      <c r="F409" s="2">
        <v>43861</v>
      </c>
      <c r="G409" s="2"/>
      <c r="H409" s="657" t="s">
        <v>17</v>
      </c>
      <c r="I409" s="658" t="s">
        <v>32</v>
      </c>
      <c r="J409" s="3" t="s">
        <v>19</v>
      </c>
      <c r="K409" s="3"/>
    </row>
    <row r="410" spans="1:11" ht="43.2" x14ac:dyDescent="0.3">
      <c r="A410" s="3" t="s">
        <v>963</v>
      </c>
      <c r="B410" s="3" t="str">
        <f>"036335026"</f>
        <v>036335026</v>
      </c>
      <c r="C410" s="3" t="s">
        <v>964</v>
      </c>
      <c r="D410" s="3" t="s">
        <v>965</v>
      </c>
      <c r="E410" s="3" t="s">
        <v>16</v>
      </c>
      <c r="F410" s="2">
        <v>43292</v>
      </c>
      <c r="G410" s="2"/>
      <c r="H410" s="659" t="s">
        <v>17</v>
      </c>
      <c r="I410" s="3" t="s">
        <v>41</v>
      </c>
      <c r="J410" s="3" t="s">
        <v>19</v>
      </c>
      <c r="K410" s="3"/>
    </row>
    <row r="411" spans="1:11" ht="43.2" x14ac:dyDescent="0.3">
      <c r="A411" s="3" t="s">
        <v>966</v>
      </c>
      <c r="B411" s="3" t="str">
        <f>"031113018"</f>
        <v>031113018</v>
      </c>
      <c r="C411" s="3" t="s">
        <v>680</v>
      </c>
      <c r="D411" s="3" t="s">
        <v>967</v>
      </c>
      <c r="E411" s="3" t="s">
        <v>467</v>
      </c>
      <c r="F411" s="2">
        <v>44044</v>
      </c>
      <c r="G411" s="2">
        <v>44134</v>
      </c>
      <c r="H411" s="660" t="s">
        <v>17</v>
      </c>
      <c r="I411" s="3" t="s">
        <v>41</v>
      </c>
      <c r="J411" s="3" t="s">
        <v>19</v>
      </c>
      <c r="K411" s="3"/>
    </row>
    <row r="412" spans="1:11" ht="43.2" x14ac:dyDescent="0.3">
      <c r="A412" s="3" t="s">
        <v>966</v>
      </c>
      <c r="B412" s="3" t="str">
        <f>"031113020"</f>
        <v>031113020</v>
      </c>
      <c r="C412" s="3" t="s">
        <v>680</v>
      </c>
      <c r="D412" s="3" t="s">
        <v>968</v>
      </c>
      <c r="E412" s="3" t="s">
        <v>467</v>
      </c>
      <c r="F412" s="2">
        <v>44044</v>
      </c>
      <c r="G412" s="2">
        <v>44134</v>
      </c>
      <c r="H412" s="661" t="s">
        <v>17</v>
      </c>
      <c r="I412" s="3" t="s">
        <v>41</v>
      </c>
      <c r="J412" s="3" t="s">
        <v>19</v>
      </c>
      <c r="K412" s="3"/>
    </row>
    <row r="413" spans="1:11" ht="57.6" x14ac:dyDescent="0.3">
      <c r="A413" s="3" t="s">
        <v>969</v>
      </c>
      <c r="B413" s="3" t="str">
        <f>"044255014"</f>
        <v>044255014</v>
      </c>
      <c r="C413" s="3" t="s">
        <v>970</v>
      </c>
      <c r="D413" s="3" t="s">
        <v>971</v>
      </c>
      <c r="E413" s="3" t="s">
        <v>24</v>
      </c>
      <c r="F413" s="2">
        <v>44075</v>
      </c>
      <c r="G413" s="2">
        <v>44196</v>
      </c>
      <c r="H413" s="662" t="s">
        <v>17</v>
      </c>
      <c r="I413" s="3" t="s">
        <v>178</v>
      </c>
      <c r="J413" s="3" t="s">
        <v>19</v>
      </c>
      <c r="K413" s="3"/>
    </row>
    <row r="414" spans="1:11" ht="57.6" x14ac:dyDescent="0.3">
      <c r="A414" s="3" t="s">
        <v>972</v>
      </c>
      <c r="B414" s="3" t="str">
        <f>"044348023"</f>
        <v>044348023</v>
      </c>
      <c r="C414" s="3" t="s">
        <v>970</v>
      </c>
      <c r="D414" s="3" t="s">
        <v>973</v>
      </c>
      <c r="E414" s="3" t="s">
        <v>518</v>
      </c>
      <c r="F414" s="2">
        <v>43800</v>
      </c>
      <c r="G414" s="2"/>
      <c r="H414" s="663" t="s">
        <v>17</v>
      </c>
      <c r="I414" s="3" t="s">
        <v>41</v>
      </c>
      <c r="J414" s="3" t="s">
        <v>19</v>
      </c>
      <c r="K414" s="3"/>
    </row>
    <row r="415" spans="1:11" ht="57.6" x14ac:dyDescent="0.3">
      <c r="A415" s="3" t="s">
        <v>974</v>
      </c>
      <c r="B415" s="3" t="str">
        <f>"044438012"</f>
        <v>044438012</v>
      </c>
      <c r="C415" s="3" t="s">
        <v>970</v>
      </c>
      <c r="D415" s="3" t="s">
        <v>971</v>
      </c>
      <c r="E415" s="3" t="s">
        <v>64</v>
      </c>
      <c r="F415" s="2">
        <v>44044</v>
      </c>
      <c r="G415" s="2"/>
      <c r="H415" s="664" t="s">
        <v>17</v>
      </c>
      <c r="I415" s="3" t="s">
        <v>41</v>
      </c>
      <c r="J415" s="3" t="s">
        <v>19</v>
      </c>
      <c r="K415" s="3"/>
    </row>
    <row r="416" spans="1:11" ht="57.6" x14ac:dyDescent="0.3">
      <c r="A416" s="3" t="s">
        <v>974</v>
      </c>
      <c r="B416" s="3" t="str">
        <f>"044438024"</f>
        <v>044438024</v>
      </c>
      <c r="C416" s="3" t="s">
        <v>970</v>
      </c>
      <c r="D416" s="3" t="s">
        <v>973</v>
      </c>
      <c r="E416" s="3" t="s">
        <v>64</v>
      </c>
      <c r="F416" s="2">
        <v>44044</v>
      </c>
      <c r="G416" s="2"/>
      <c r="H416" s="665" t="s">
        <v>17</v>
      </c>
      <c r="I416" s="3" t="s">
        <v>41</v>
      </c>
      <c r="J416" s="3" t="s">
        <v>19</v>
      </c>
      <c r="K416" s="3"/>
    </row>
    <row r="417" spans="1:11" ht="216" x14ac:dyDescent="0.3">
      <c r="A417" s="3" t="s">
        <v>975</v>
      </c>
      <c r="B417" s="3" t="str">
        <f>"021502012"</f>
        <v>021502012</v>
      </c>
      <c r="C417" s="3" t="s">
        <v>976</v>
      </c>
      <c r="D417" s="3" t="s">
        <v>977</v>
      </c>
      <c r="E417" s="3" t="s">
        <v>198</v>
      </c>
      <c r="F417" s="2">
        <v>43567</v>
      </c>
      <c r="G417" s="2"/>
      <c r="H417" s="666" t="s">
        <v>37</v>
      </c>
      <c r="I417" s="667" t="s">
        <v>18</v>
      </c>
      <c r="J417" s="3" t="s">
        <v>240</v>
      </c>
      <c r="K417" s="3" t="s">
        <v>978</v>
      </c>
    </row>
    <row r="418" spans="1:11" ht="100.8" x14ac:dyDescent="0.3">
      <c r="A418" s="3" t="s">
        <v>975</v>
      </c>
      <c r="B418" s="3" t="str">
        <f>"021502024"</f>
        <v>021502024</v>
      </c>
      <c r="C418" s="3" t="s">
        <v>976</v>
      </c>
      <c r="D418" s="3" t="s">
        <v>979</v>
      </c>
      <c r="E418" s="3" t="s">
        <v>198</v>
      </c>
      <c r="F418" s="2">
        <v>43567</v>
      </c>
      <c r="G418" s="2"/>
      <c r="H418" s="668" t="s">
        <v>37</v>
      </c>
      <c r="I418" s="669" t="s">
        <v>18</v>
      </c>
      <c r="J418" s="3" t="s">
        <v>156</v>
      </c>
      <c r="K418" s="3" t="s">
        <v>980</v>
      </c>
    </row>
    <row r="419" spans="1:11" ht="57.6" x14ac:dyDescent="0.3">
      <c r="A419" s="3" t="s">
        <v>981</v>
      </c>
      <c r="B419" s="3" t="str">
        <f>"029561103"</f>
        <v>029561103</v>
      </c>
      <c r="C419" s="3" t="s">
        <v>982</v>
      </c>
      <c r="D419" s="3" t="s">
        <v>983</v>
      </c>
      <c r="E419" s="3" t="s">
        <v>412</v>
      </c>
      <c r="F419" s="2">
        <v>41517</v>
      </c>
      <c r="G419" s="2"/>
      <c r="H419" s="670" t="s">
        <v>17</v>
      </c>
      <c r="I419" s="671" t="s">
        <v>18</v>
      </c>
      <c r="J419" s="3" t="s">
        <v>19</v>
      </c>
      <c r="K419" s="3"/>
    </row>
    <row r="420" spans="1:11" ht="43.2" x14ac:dyDescent="0.3">
      <c r="A420" s="3" t="s">
        <v>981</v>
      </c>
      <c r="B420" s="3" t="str">
        <f>"029561139"</f>
        <v>029561139</v>
      </c>
      <c r="C420" s="3" t="s">
        <v>982</v>
      </c>
      <c r="D420" s="3" t="s">
        <v>984</v>
      </c>
      <c r="E420" s="3" t="s">
        <v>412</v>
      </c>
      <c r="F420" s="2">
        <v>44162</v>
      </c>
      <c r="G420" s="2">
        <v>44285</v>
      </c>
      <c r="H420" s="672" t="s">
        <v>17</v>
      </c>
      <c r="I420" s="3" t="s">
        <v>41</v>
      </c>
      <c r="J420" s="3" t="s">
        <v>19</v>
      </c>
      <c r="K420" s="3"/>
    </row>
    <row r="421" spans="1:11" ht="72" x14ac:dyDescent="0.3">
      <c r="A421" s="3" t="s">
        <v>981</v>
      </c>
      <c r="B421" s="3" t="str">
        <f>"029561038"</f>
        <v>029561038</v>
      </c>
      <c r="C421" s="3" t="s">
        <v>982</v>
      </c>
      <c r="D421" s="3" t="s">
        <v>985</v>
      </c>
      <c r="E421" s="3" t="s">
        <v>412</v>
      </c>
      <c r="F421" s="2">
        <v>44161</v>
      </c>
      <c r="G421" s="2">
        <v>44196</v>
      </c>
      <c r="H421" s="673" t="s">
        <v>37</v>
      </c>
      <c r="I421" s="3" t="s">
        <v>41</v>
      </c>
      <c r="J421" s="3" t="s">
        <v>19</v>
      </c>
      <c r="K421" s="3"/>
    </row>
    <row r="422" spans="1:11" ht="43.2" x14ac:dyDescent="0.3">
      <c r="A422" s="3" t="s">
        <v>986</v>
      </c>
      <c r="B422" s="3" t="str">
        <f>"003366111"</f>
        <v>003366111</v>
      </c>
      <c r="C422" s="3" t="s">
        <v>987</v>
      </c>
      <c r="D422" s="3" t="s">
        <v>988</v>
      </c>
      <c r="E422" s="3" t="s">
        <v>501</v>
      </c>
      <c r="F422" s="2">
        <v>41426</v>
      </c>
      <c r="G422" s="2"/>
      <c r="H422" s="674" t="s">
        <v>37</v>
      </c>
      <c r="I422" s="675" t="s">
        <v>18</v>
      </c>
      <c r="J422" s="3" t="s">
        <v>19</v>
      </c>
      <c r="K422" s="3"/>
    </row>
    <row r="423" spans="1:11" ht="57.6" x14ac:dyDescent="0.3">
      <c r="A423" s="3" t="s">
        <v>986</v>
      </c>
      <c r="B423" s="3" t="str">
        <f>"003366200"</f>
        <v>003366200</v>
      </c>
      <c r="C423" s="3" t="s">
        <v>987</v>
      </c>
      <c r="D423" s="3" t="s">
        <v>989</v>
      </c>
      <c r="E423" s="3" t="s">
        <v>501</v>
      </c>
      <c r="F423" s="2">
        <v>42319</v>
      </c>
      <c r="G423" s="2"/>
      <c r="H423" s="676" t="s">
        <v>37</v>
      </c>
      <c r="I423" s="677" t="s">
        <v>18</v>
      </c>
      <c r="J423" s="3" t="s">
        <v>19</v>
      </c>
      <c r="K423" s="3"/>
    </row>
    <row r="424" spans="1:11" ht="43.2" x14ac:dyDescent="0.3">
      <c r="A424" s="3" t="s">
        <v>986</v>
      </c>
      <c r="B424" s="3" t="str">
        <f>"003366174"</f>
        <v>003366174</v>
      </c>
      <c r="C424" s="3" t="s">
        <v>987</v>
      </c>
      <c r="D424" s="3" t="s">
        <v>990</v>
      </c>
      <c r="E424" s="3" t="s">
        <v>501</v>
      </c>
      <c r="F424" s="2">
        <v>42319</v>
      </c>
      <c r="G424" s="2"/>
      <c r="H424" s="678" t="s">
        <v>37</v>
      </c>
      <c r="I424" s="679" t="s">
        <v>18</v>
      </c>
      <c r="J424" s="3" t="s">
        <v>19</v>
      </c>
      <c r="K424" s="3"/>
    </row>
    <row r="425" spans="1:11" ht="43.2" x14ac:dyDescent="0.3">
      <c r="A425" s="3" t="s">
        <v>986</v>
      </c>
      <c r="B425" s="3" t="str">
        <f>"003366162"</f>
        <v>003366162</v>
      </c>
      <c r="C425" s="3" t="s">
        <v>987</v>
      </c>
      <c r="D425" s="3" t="s">
        <v>991</v>
      </c>
      <c r="E425" s="3" t="s">
        <v>501</v>
      </c>
      <c r="F425" s="2">
        <v>42319</v>
      </c>
      <c r="G425" s="2"/>
      <c r="H425" s="680" t="s">
        <v>37</v>
      </c>
      <c r="I425" s="681" t="s">
        <v>18</v>
      </c>
      <c r="J425" s="3" t="s">
        <v>19</v>
      </c>
      <c r="K425" s="3"/>
    </row>
    <row r="426" spans="1:11" ht="43.2" x14ac:dyDescent="0.3">
      <c r="A426" s="3" t="s">
        <v>992</v>
      </c>
      <c r="B426" s="3" t="str">
        <f>"027849140"</f>
        <v>027849140</v>
      </c>
      <c r="C426" s="3" t="s">
        <v>993</v>
      </c>
      <c r="D426" s="3" t="s">
        <v>994</v>
      </c>
      <c r="E426" s="3" t="s">
        <v>438</v>
      </c>
      <c r="F426" s="2">
        <v>42384</v>
      </c>
      <c r="G426" s="2"/>
      <c r="H426" s="682" t="s">
        <v>17</v>
      </c>
      <c r="I426" s="683" t="s">
        <v>18</v>
      </c>
      <c r="J426" s="3" t="s">
        <v>19</v>
      </c>
      <c r="K426" s="3"/>
    </row>
    <row r="427" spans="1:11" ht="43.2" x14ac:dyDescent="0.3">
      <c r="A427" s="3" t="s">
        <v>995</v>
      </c>
      <c r="B427" s="3" t="str">
        <f>"034636011"</f>
        <v>034636011</v>
      </c>
      <c r="C427" s="3" t="s">
        <v>996</v>
      </c>
      <c r="D427" s="3" t="s">
        <v>997</v>
      </c>
      <c r="E427" s="3" t="s">
        <v>401</v>
      </c>
      <c r="F427" s="2">
        <v>42310</v>
      </c>
      <c r="G427" s="2"/>
      <c r="H427" s="684" t="s">
        <v>17</v>
      </c>
      <c r="I427" s="3" t="s">
        <v>41</v>
      </c>
      <c r="J427" s="3" t="s">
        <v>19</v>
      </c>
      <c r="K427" s="3"/>
    </row>
    <row r="428" spans="1:11" ht="43.2" x14ac:dyDescent="0.3">
      <c r="A428" s="3" t="s">
        <v>995</v>
      </c>
      <c r="B428" s="3" t="str">
        <f>"034636023"</f>
        <v>034636023</v>
      </c>
      <c r="C428" s="3" t="s">
        <v>996</v>
      </c>
      <c r="D428" s="3" t="s">
        <v>998</v>
      </c>
      <c r="E428" s="3" t="s">
        <v>401</v>
      </c>
      <c r="F428" s="2">
        <v>43952</v>
      </c>
      <c r="G428" s="2">
        <v>44043</v>
      </c>
      <c r="H428" s="685" t="s">
        <v>17</v>
      </c>
      <c r="I428" s="3" t="s">
        <v>41</v>
      </c>
      <c r="J428" s="3" t="s">
        <v>19</v>
      </c>
      <c r="K428" s="3"/>
    </row>
    <row r="429" spans="1:11" ht="43.2" x14ac:dyDescent="0.3">
      <c r="A429" s="3" t="s">
        <v>999</v>
      </c>
      <c r="B429" s="3" t="str">
        <f>"033445053"</f>
        <v>033445053</v>
      </c>
      <c r="C429" s="3" t="s">
        <v>1000</v>
      </c>
      <c r="D429" s="3" t="s">
        <v>1001</v>
      </c>
      <c r="E429" s="3" t="s">
        <v>401</v>
      </c>
      <c r="F429" s="2">
        <v>44043</v>
      </c>
      <c r="G429" s="2">
        <v>44562</v>
      </c>
      <c r="H429" s="686" t="s">
        <v>17</v>
      </c>
      <c r="I429" s="687" t="s">
        <v>32</v>
      </c>
      <c r="J429" s="3" t="s">
        <v>19</v>
      </c>
      <c r="K429" s="3"/>
    </row>
    <row r="430" spans="1:11" ht="43.2" x14ac:dyDescent="0.3">
      <c r="A430" s="3" t="s">
        <v>999</v>
      </c>
      <c r="B430" s="3" t="str">
        <f>"033445065"</f>
        <v>033445065</v>
      </c>
      <c r="C430" s="3" t="s">
        <v>1000</v>
      </c>
      <c r="D430" s="3" t="s">
        <v>1002</v>
      </c>
      <c r="E430" s="3" t="s">
        <v>401</v>
      </c>
      <c r="F430" s="2">
        <v>42391</v>
      </c>
      <c r="G430" s="2"/>
      <c r="H430" s="688" t="s">
        <v>17</v>
      </c>
      <c r="I430" s="3" t="s">
        <v>41</v>
      </c>
      <c r="J430" s="3" t="s">
        <v>19</v>
      </c>
      <c r="K430" s="3"/>
    </row>
    <row r="431" spans="1:11" ht="72" x14ac:dyDescent="0.3">
      <c r="A431" s="3" t="s">
        <v>1003</v>
      </c>
      <c r="B431" s="3" t="str">
        <f>"033444047"</f>
        <v>033444047</v>
      </c>
      <c r="C431" s="3" t="s">
        <v>1004</v>
      </c>
      <c r="D431" s="3" t="s">
        <v>1005</v>
      </c>
      <c r="E431" s="3" t="s">
        <v>401</v>
      </c>
      <c r="F431" s="2">
        <v>42936</v>
      </c>
      <c r="G431" s="2"/>
      <c r="H431" s="689" t="s">
        <v>17</v>
      </c>
      <c r="I431" s="3" t="s">
        <v>41</v>
      </c>
      <c r="J431" s="3" t="s">
        <v>19</v>
      </c>
      <c r="K431" s="3"/>
    </row>
    <row r="432" spans="1:11" ht="86.4" x14ac:dyDescent="0.3">
      <c r="A432" s="3" t="s">
        <v>1006</v>
      </c>
      <c r="B432" s="3" t="str">
        <f>"024127019"</f>
        <v>024127019</v>
      </c>
      <c r="C432" s="3" t="s">
        <v>1004</v>
      </c>
      <c r="D432" s="3" t="s">
        <v>1007</v>
      </c>
      <c r="E432" s="3" t="s">
        <v>211</v>
      </c>
      <c r="F432" s="2">
        <v>43734</v>
      </c>
      <c r="G432" s="2"/>
      <c r="H432" s="690" t="s">
        <v>17</v>
      </c>
      <c r="I432" s="691" t="s">
        <v>32</v>
      </c>
      <c r="J432" s="3" t="s">
        <v>19</v>
      </c>
      <c r="K432" s="3"/>
    </row>
    <row r="433" spans="1:11" ht="43.2" x14ac:dyDescent="0.3">
      <c r="A433" s="3" t="s">
        <v>1008</v>
      </c>
      <c r="B433" s="3" t="str">
        <f>"040715029"</f>
        <v>040715029</v>
      </c>
      <c r="C433" s="3" t="s">
        <v>1009</v>
      </c>
      <c r="D433" s="3" t="s">
        <v>1010</v>
      </c>
      <c r="E433" s="3" t="s">
        <v>56</v>
      </c>
      <c r="F433" s="2">
        <v>43451</v>
      </c>
      <c r="G433" s="2"/>
      <c r="H433" s="692" t="s">
        <v>17</v>
      </c>
      <c r="I433" s="693" t="s">
        <v>18</v>
      </c>
      <c r="J433" s="3" t="s">
        <v>19</v>
      </c>
      <c r="K433" s="3"/>
    </row>
    <row r="434" spans="1:11" ht="57.6" x14ac:dyDescent="0.3">
      <c r="A434" s="3" t="s">
        <v>1011</v>
      </c>
      <c r="B434" s="3" t="str">
        <f>"039791013"</f>
        <v>039791013</v>
      </c>
      <c r="C434" s="3" t="s">
        <v>1009</v>
      </c>
      <c r="D434" s="3" t="s">
        <v>1012</v>
      </c>
      <c r="E434" s="3" t="s">
        <v>56</v>
      </c>
      <c r="F434" s="2">
        <v>43451</v>
      </c>
      <c r="G434" s="2"/>
      <c r="H434" s="694" t="s">
        <v>17</v>
      </c>
      <c r="I434" s="695" t="s">
        <v>18</v>
      </c>
      <c r="J434" s="3" t="s">
        <v>19</v>
      </c>
      <c r="K434" s="3"/>
    </row>
    <row r="435" spans="1:11" ht="72" x14ac:dyDescent="0.3">
      <c r="A435" s="3" t="s">
        <v>1013</v>
      </c>
      <c r="B435" s="3" t="str">
        <f>"035483015"</f>
        <v>035483015</v>
      </c>
      <c r="C435" s="3" t="s">
        <v>1014</v>
      </c>
      <c r="D435" s="3" t="s">
        <v>1015</v>
      </c>
      <c r="E435" s="3" t="s">
        <v>107</v>
      </c>
      <c r="F435" s="2">
        <v>43217</v>
      </c>
      <c r="G435" s="2"/>
      <c r="H435" s="696" t="s">
        <v>17</v>
      </c>
      <c r="I435" s="697" t="s">
        <v>18</v>
      </c>
      <c r="J435" s="3" t="s">
        <v>19</v>
      </c>
      <c r="K435" s="3"/>
    </row>
    <row r="436" spans="1:11" ht="57.6" x14ac:dyDescent="0.3">
      <c r="A436" s="3" t="s">
        <v>1013</v>
      </c>
      <c r="B436" s="3" t="str">
        <f>"035483027"</f>
        <v>035483027</v>
      </c>
      <c r="C436" s="3" t="s">
        <v>1014</v>
      </c>
      <c r="D436" s="3" t="s">
        <v>1016</v>
      </c>
      <c r="E436" s="3" t="s">
        <v>107</v>
      </c>
      <c r="F436" s="2">
        <v>43230</v>
      </c>
      <c r="G436" s="2"/>
      <c r="H436" s="698" t="s">
        <v>17</v>
      </c>
      <c r="I436" s="699" t="s">
        <v>18</v>
      </c>
      <c r="J436" s="3" t="s">
        <v>19</v>
      </c>
      <c r="K436" s="3"/>
    </row>
    <row r="437" spans="1:11" ht="86.4" x14ac:dyDescent="0.3">
      <c r="A437" s="3" t="s">
        <v>1013</v>
      </c>
      <c r="B437" s="3" t="str">
        <f>"035483039"</f>
        <v>035483039</v>
      </c>
      <c r="C437" s="3" t="s">
        <v>1014</v>
      </c>
      <c r="D437" s="3" t="s">
        <v>1017</v>
      </c>
      <c r="E437" s="3" t="s">
        <v>107</v>
      </c>
      <c r="F437" s="2">
        <v>43230</v>
      </c>
      <c r="G437" s="2"/>
      <c r="H437" s="700" t="s">
        <v>17</v>
      </c>
      <c r="I437" s="701" t="s">
        <v>18</v>
      </c>
      <c r="J437" s="3" t="s">
        <v>19</v>
      </c>
      <c r="K437" s="3"/>
    </row>
    <row r="438" spans="1:11" ht="57.6" x14ac:dyDescent="0.3">
      <c r="A438" s="3" t="s">
        <v>1018</v>
      </c>
      <c r="B438" s="3" t="str">
        <f>"034992038"</f>
        <v>034992038</v>
      </c>
      <c r="C438" s="3" t="s">
        <v>1014</v>
      </c>
      <c r="D438" s="3" t="s">
        <v>1019</v>
      </c>
      <c r="E438" s="3" t="s">
        <v>412</v>
      </c>
      <c r="F438" s="2">
        <v>43616</v>
      </c>
      <c r="G438" s="2"/>
      <c r="H438" s="702" t="s">
        <v>17</v>
      </c>
      <c r="I438" s="703" t="s">
        <v>18</v>
      </c>
      <c r="J438" s="3" t="s">
        <v>19</v>
      </c>
      <c r="K438" s="3"/>
    </row>
    <row r="439" spans="1:11" ht="86.4" x14ac:dyDescent="0.3">
      <c r="A439" s="3" t="s">
        <v>1018</v>
      </c>
      <c r="B439" s="3" t="str">
        <f>"034992053"</f>
        <v>034992053</v>
      </c>
      <c r="C439" s="3" t="s">
        <v>1014</v>
      </c>
      <c r="D439" s="3" t="s">
        <v>1020</v>
      </c>
      <c r="E439" s="3" t="s">
        <v>412</v>
      </c>
      <c r="F439" s="2">
        <v>43769</v>
      </c>
      <c r="G439" s="2"/>
      <c r="H439" s="704" t="s">
        <v>17</v>
      </c>
      <c r="I439" s="705" t="s">
        <v>18</v>
      </c>
      <c r="J439" s="3" t="s">
        <v>19</v>
      </c>
      <c r="K439" s="3"/>
    </row>
    <row r="440" spans="1:11" ht="86.4" x14ac:dyDescent="0.3">
      <c r="A440" s="3" t="s">
        <v>1021</v>
      </c>
      <c r="B440" s="3" t="str">
        <f>"036012021"</f>
        <v>036012021</v>
      </c>
      <c r="C440" s="3" t="s">
        <v>1022</v>
      </c>
      <c r="D440" s="3" t="s">
        <v>1023</v>
      </c>
      <c r="E440" s="3" t="s">
        <v>407</v>
      </c>
      <c r="F440" s="2">
        <v>41968</v>
      </c>
      <c r="G440" s="2"/>
      <c r="H440" s="706" t="s">
        <v>17</v>
      </c>
      <c r="I440" s="3" t="s">
        <v>41</v>
      </c>
      <c r="J440" s="3" t="s">
        <v>19</v>
      </c>
      <c r="K440" s="3"/>
    </row>
    <row r="441" spans="1:11" ht="72" x14ac:dyDescent="0.3">
      <c r="A441" s="3" t="s">
        <v>1021</v>
      </c>
      <c r="B441" s="3" t="str">
        <f>"036012019"</f>
        <v>036012019</v>
      </c>
      <c r="C441" s="3" t="s">
        <v>1022</v>
      </c>
      <c r="D441" s="3" t="s">
        <v>1024</v>
      </c>
      <c r="E441" s="3" t="s">
        <v>407</v>
      </c>
      <c r="F441" s="2">
        <v>41968</v>
      </c>
      <c r="G441" s="2"/>
      <c r="H441" s="707" t="s">
        <v>17</v>
      </c>
      <c r="I441" s="3" t="s">
        <v>41</v>
      </c>
      <c r="J441" s="3" t="s">
        <v>19</v>
      </c>
      <c r="K441" s="3"/>
    </row>
    <row r="442" spans="1:11" ht="72" x14ac:dyDescent="0.3">
      <c r="A442" s="3" t="s">
        <v>1021</v>
      </c>
      <c r="B442" s="3" t="str">
        <f>"036012033"</f>
        <v>036012033</v>
      </c>
      <c r="C442" s="3" t="s">
        <v>1022</v>
      </c>
      <c r="D442" s="3" t="s">
        <v>1025</v>
      </c>
      <c r="E442" s="3" t="s">
        <v>407</v>
      </c>
      <c r="F442" s="2">
        <v>41968</v>
      </c>
      <c r="G442" s="2"/>
      <c r="H442" s="708" t="s">
        <v>17</v>
      </c>
      <c r="I442" s="3" t="s">
        <v>41</v>
      </c>
      <c r="J442" s="3" t="s">
        <v>19</v>
      </c>
      <c r="K442" s="3"/>
    </row>
    <row r="443" spans="1:11" ht="43.2" x14ac:dyDescent="0.3">
      <c r="A443" s="3" t="s">
        <v>1026</v>
      </c>
      <c r="B443" s="3" t="str">
        <f>"035814045"</f>
        <v>035814045</v>
      </c>
      <c r="C443" s="3" t="s">
        <v>961</v>
      </c>
      <c r="D443" s="3" t="s">
        <v>1027</v>
      </c>
      <c r="E443" s="3" t="s">
        <v>407</v>
      </c>
      <c r="F443" s="2">
        <v>42424</v>
      </c>
      <c r="G443" s="2"/>
      <c r="H443" s="709" t="s">
        <v>17</v>
      </c>
      <c r="I443" s="3" t="s">
        <v>41</v>
      </c>
      <c r="J443" s="3" t="s">
        <v>19</v>
      </c>
      <c r="K443" s="3"/>
    </row>
    <row r="444" spans="1:11" ht="43.2" x14ac:dyDescent="0.3">
      <c r="A444" s="3" t="s">
        <v>1028</v>
      </c>
      <c r="B444" s="3" t="str">
        <f>"042495034"</f>
        <v>042495034</v>
      </c>
      <c r="C444" s="3" t="s">
        <v>1029</v>
      </c>
      <c r="D444" s="3" t="s">
        <v>1030</v>
      </c>
      <c r="E444" s="3" t="s">
        <v>239</v>
      </c>
      <c r="F444" s="2">
        <v>43992</v>
      </c>
      <c r="G444" s="2"/>
      <c r="H444" s="710" t="s">
        <v>17</v>
      </c>
      <c r="I444" s="711" t="s">
        <v>18</v>
      </c>
      <c r="J444" s="3" t="s">
        <v>19</v>
      </c>
      <c r="K444" s="3"/>
    </row>
    <row r="445" spans="1:11" ht="72" x14ac:dyDescent="0.3">
      <c r="A445" s="3" t="s">
        <v>1031</v>
      </c>
      <c r="B445" s="3" t="str">
        <f>"035669023"</f>
        <v>035669023</v>
      </c>
      <c r="C445" s="3" t="s">
        <v>961</v>
      </c>
      <c r="D445" s="3" t="s">
        <v>1032</v>
      </c>
      <c r="E445" s="3" t="s">
        <v>604</v>
      </c>
      <c r="F445" s="2">
        <v>41204</v>
      </c>
      <c r="G445" s="2"/>
      <c r="H445" s="712" t="s">
        <v>17</v>
      </c>
      <c r="I445" s="713" t="s">
        <v>18</v>
      </c>
      <c r="J445" s="3" t="s">
        <v>19</v>
      </c>
      <c r="K445" s="3"/>
    </row>
    <row r="446" spans="1:11" ht="86.4" x14ac:dyDescent="0.3">
      <c r="A446" s="3" t="s">
        <v>1031</v>
      </c>
      <c r="B446" s="3" t="str">
        <f>"035669035"</f>
        <v>035669035</v>
      </c>
      <c r="C446" s="3" t="s">
        <v>961</v>
      </c>
      <c r="D446" s="3" t="s">
        <v>1033</v>
      </c>
      <c r="E446" s="3" t="s">
        <v>604</v>
      </c>
      <c r="F446" s="2">
        <v>41204</v>
      </c>
      <c r="G446" s="2"/>
      <c r="H446" s="714" t="s">
        <v>17</v>
      </c>
      <c r="I446" s="715" t="s">
        <v>18</v>
      </c>
      <c r="J446" s="3" t="s">
        <v>19</v>
      </c>
      <c r="K446" s="3"/>
    </row>
    <row r="447" spans="1:11" ht="72" x14ac:dyDescent="0.3">
      <c r="A447" s="3" t="s">
        <v>1031</v>
      </c>
      <c r="B447" s="3" t="str">
        <f>"035669047"</f>
        <v>035669047</v>
      </c>
      <c r="C447" s="3" t="s">
        <v>961</v>
      </c>
      <c r="D447" s="3" t="s">
        <v>1034</v>
      </c>
      <c r="E447" s="3" t="s">
        <v>604</v>
      </c>
      <c r="F447" s="2">
        <v>41204</v>
      </c>
      <c r="G447" s="2"/>
      <c r="H447" s="716" t="s">
        <v>17</v>
      </c>
      <c r="I447" s="717" t="s">
        <v>18</v>
      </c>
      <c r="J447" s="3" t="s">
        <v>19</v>
      </c>
      <c r="K447" s="3"/>
    </row>
    <row r="448" spans="1:11" ht="43.2" x14ac:dyDescent="0.3">
      <c r="A448" s="3" t="s">
        <v>1031</v>
      </c>
      <c r="B448" s="3" t="str">
        <f>"035669050"</f>
        <v>035669050</v>
      </c>
      <c r="C448" s="3" t="s">
        <v>961</v>
      </c>
      <c r="D448" s="3" t="s">
        <v>1035</v>
      </c>
      <c r="E448" s="3" t="s">
        <v>604</v>
      </c>
      <c r="F448" s="2">
        <v>41204</v>
      </c>
      <c r="G448" s="2"/>
      <c r="H448" s="718" t="s">
        <v>17</v>
      </c>
      <c r="I448" s="719" t="s">
        <v>18</v>
      </c>
      <c r="J448" s="3" t="s">
        <v>19</v>
      </c>
      <c r="K448" s="3"/>
    </row>
    <row r="449" spans="1:11" ht="72" x14ac:dyDescent="0.3">
      <c r="A449" s="3" t="s">
        <v>1036</v>
      </c>
      <c r="B449" s="3" t="str">
        <f>"035906039"</f>
        <v>035906039</v>
      </c>
      <c r="C449" s="3" t="s">
        <v>961</v>
      </c>
      <c r="D449" s="3" t="s">
        <v>1037</v>
      </c>
      <c r="E449" s="3" t="s">
        <v>239</v>
      </c>
      <c r="F449" s="2">
        <v>44248</v>
      </c>
      <c r="G449" s="2"/>
      <c r="H449" s="720" t="s">
        <v>17</v>
      </c>
      <c r="I449" s="721" t="s">
        <v>18</v>
      </c>
      <c r="J449" s="3" t="s">
        <v>19</v>
      </c>
      <c r="K449" s="3"/>
    </row>
    <row r="450" spans="1:11" ht="43.2" x14ac:dyDescent="0.3">
      <c r="A450" s="3" t="s">
        <v>1036</v>
      </c>
      <c r="B450" s="3" t="str">
        <f>"035906054"</f>
        <v>035906054</v>
      </c>
      <c r="C450" s="3" t="s">
        <v>961</v>
      </c>
      <c r="D450" s="3" t="s">
        <v>1038</v>
      </c>
      <c r="E450" s="3" t="s">
        <v>239</v>
      </c>
      <c r="F450" s="2">
        <v>43585</v>
      </c>
      <c r="G450" s="2"/>
      <c r="H450" s="722" t="s">
        <v>17</v>
      </c>
      <c r="I450" s="723" t="s">
        <v>18</v>
      </c>
      <c r="J450" s="3" t="s">
        <v>19</v>
      </c>
      <c r="K450" s="3"/>
    </row>
    <row r="451" spans="1:11" ht="43.2" x14ac:dyDescent="0.3">
      <c r="A451" s="3" t="s">
        <v>1039</v>
      </c>
      <c r="B451" s="3" t="str">
        <f>"035878053"</f>
        <v>035878053</v>
      </c>
      <c r="C451" s="3" t="s">
        <v>961</v>
      </c>
      <c r="D451" s="3" t="s">
        <v>1040</v>
      </c>
      <c r="E451" s="3" t="s">
        <v>56</v>
      </c>
      <c r="F451" s="2">
        <v>42576</v>
      </c>
      <c r="G451" s="2"/>
      <c r="H451" s="724" t="s">
        <v>17</v>
      </c>
      <c r="I451" s="725" t="s">
        <v>18</v>
      </c>
      <c r="J451" s="3" t="s">
        <v>19</v>
      </c>
      <c r="K451" s="3"/>
    </row>
    <row r="452" spans="1:11" ht="57.6" x14ac:dyDescent="0.3">
      <c r="A452" s="3" t="s">
        <v>1039</v>
      </c>
      <c r="B452" s="3" t="str">
        <f>"035878040"</f>
        <v>035878040</v>
      </c>
      <c r="C452" s="3" t="s">
        <v>961</v>
      </c>
      <c r="D452" s="3" t="s">
        <v>1041</v>
      </c>
      <c r="E452" s="3" t="s">
        <v>56</v>
      </c>
      <c r="F452" s="2">
        <v>41849</v>
      </c>
      <c r="G452" s="2"/>
      <c r="H452" s="726" t="s">
        <v>17</v>
      </c>
      <c r="I452" s="727" t="s">
        <v>18</v>
      </c>
      <c r="J452" s="3" t="s">
        <v>19</v>
      </c>
      <c r="K452" s="3"/>
    </row>
    <row r="453" spans="1:11" ht="86.4" x14ac:dyDescent="0.3">
      <c r="A453" s="3" t="s">
        <v>1042</v>
      </c>
      <c r="B453" s="3" t="str">
        <f>"036144018"</f>
        <v>036144018</v>
      </c>
      <c r="C453" s="3" t="s">
        <v>961</v>
      </c>
      <c r="D453" s="3" t="s">
        <v>1043</v>
      </c>
      <c r="E453" s="3" t="s">
        <v>1044</v>
      </c>
      <c r="F453" s="2">
        <v>44166</v>
      </c>
      <c r="G453" s="2"/>
      <c r="H453" s="728" t="s">
        <v>17</v>
      </c>
      <c r="I453" s="729" t="s">
        <v>18</v>
      </c>
      <c r="J453" s="3" t="s">
        <v>19</v>
      </c>
      <c r="K453" s="3"/>
    </row>
    <row r="454" spans="1:11" ht="72" x14ac:dyDescent="0.3">
      <c r="A454" s="3" t="s">
        <v>1045</v>
      </c>
      <c r="B454" s="3" t="str">
        <f>"035802026"</f>
        <v>035802026</v>
      </c>
      <c r="C454" s="3" t="s">
        <v>961</v>
      </c>
      <c r="D454" s="3" t="s">
        <v>1046</v>
      </c>
      <c r="E454" s="3" t="s">
        <v>103</v>
      </c>
      <c r="F454" s="2">
        <v>43497</v>
      </c>
      <c r="G454" s="2"/>
      <c r="H454" s="730" t="s">
        <v>17</v>
      </c>
      <c r="I454" s="731" t="s">
        <v>18</v>
      </c>
      <c r="J454" s="3" t="s">
        <v>19</v>
      </c>
      <c r="K454" s="3"/>
    </row>
    <row r="455" spans="1:11" ht="57.6" x14ac:dyDescent="0.3">
      <c r="A455" s="3" t="s">
        <v>1045</v>
      </c>
      <c r="B455" s="3" t="str">
        <f>"035802040"</f>
        <v>035802040</v>
      </c>
      <c r="C455" s="3" t="s">
        <v>961</v>
      </c>
      <c r="D455" s="3" t="s">
        <v>1047</v>
      </c>
      <c r="E455" s="3" t="s">
        <v>103</v>
      </c>
      <c r="F455" s="2">
        <v>43899</v>
      </c>
      <c r="G455" s="2">
        <v>43951</v>
      </c>
      <c r="H455" s="732" t="s">
        <v>17</v>
      </c>
      <c r="I455" s="3" t="s">
        <v>41</v>
      </c>
      <c r="J455" s="3" t="s">
        <v>19</v>
      </c>
      <c r="K455" s="3"/>
    </row>
    <row r="456" spans="1:11" ht="43.2" x14ac:dyDescent="0.3">
      <c r="A456" s="3" t="s">
        <v>1048</v>
      </c>
      <c r="B456" s="3" t="str">
        <f>"033447032"</f>
        <v>033447032</v>
      </c>
      <c r="C456" s="3" t="s">
        <v>1049</v>
      </c>
      <c r="D456" s="3" t="s">
        <v>1050</v>
      </c>
      <c r="E456" s="3" t="s">
        <v>401</v>
      </c>
      <c r="F456" s="2">
        <v>42424</v>
      </c>
      <c r="G456" s="2"/>
      <c r="H456" s="733" t="s">
        <v>37</v>
      </c>
      <c r="I456" s="3" t="s">
        <v>41</v>
      </c>
      <c r="J456" s="3" t="s">
        <v>19</v>
      </c>
      <c r="K456" s="3"/>
    </row>
    <row r="457" spans="1:11" ht="43.2" x14ac:dyDescent="0.3">
      <c r="A457" s="3" t="s">
        <v>1048</v>
      </c>
      <c r="B457" s="3" t="str">
        <f>"033447057"</f>
        <v>033447057</v>
      </c>
      <c r="C457" s="3" t="s">
        <v>1049</v>
      </c>
      <c r="D457" s="3" t="s">
        <v>1051</v>
      </c>
      <c r="E457" s="3" t="s">
        <v>401</v>
      </c>
      <c r="F457" s="2">
        <v>42424</v>
      </c>
      <c r="G457" s="2"/>
      <c r="H457" s="734" t="s">
        <v>37</v>
      </c>
      <c r="I457" s="3" t="s">
        <v>41</v>
      </c>
      <c r="J457" s="3" t="s">
        <v>19</v>
      </c>
      <c r="K457" s="3"/>
    </row>
    <row r="458" spans="1:11" ht="43.2" x14ac:dyDescent="0.3">
      <c r="A458" s="3" t="s">
        <v>1048</v>
      </c>
      <c r="B458" s="3" t="str">
        <f>"033447069"</f>
        <v>033447069</v>
      </c>
      <c r="C458" s="3" t="s">
        <v>1049</v>
      </c>
      <c r="D458" s="3" t="s">
        <v>1052</v>
      </c>
      <c r="E458" s="3" t="s">
        <v>401</v>
      </c>
      <c r="F458" s="2">
        <v>42424</v>
      </c>
      <c r="G458" s="2"/>
      <c r="H458" s="735" t="s">
        <v>37</v>
      </c>
      <c r="I458" s="3" t="s">
        <v>41</v>
      </c>
      <c r="J458" s="3" t="s">
        <v>19</v>
      </c>
      <c r="K458" s="3"/>
    </row>
    <row r="459" spans="1:11" ht="43.2" x14ac:dyDescent="0.3">
      <c r="A459" s="3" t="s">
        <v>1048</v>
      </c>
      <c r="B459" s="3" t="str">
        <f>"033447044"</f>
        <v>033447044</v>
      </c>
      <c r="C459" s="3" t="s">
        <v>1049</v>
      </c>
      <c r="D459" s="3" t="s">
        <v>1053</v>
      </c>
      <c r="E459" s="3" t="s">
        <v>401</v>
      </c>
      <c r="F459" s="2">
        <v>42424</v>
      </c>
      <c r="G459" s="2"/>
      <c r="H459" s="736" t="s">
        <v>37</v>
      </c>
      <c r="I459" s="3" t="s">
        <v>41</v>
      </c>
      <c r="J459" s="3" t="s">
        <v>19</v>
      </c>
      <c r="K459" s="3"/>
    </row>
    <row r="460" spans="1:11" ht="43.2" x14ac:dyDescent="0.3">
      <c r="A460" s="3" t="s">
        <v>1054</v>
      </c>
      <c r="B460" s="3" t="str">
        <f>"042568105"</f>
        <v>042568105</v>
      </c>
      <c r="C460" s="3" t="s">
        <v>1055</v>
      </c>
      <c r="D460" s="3" t="s">
        <v>1056</v>
      </c>
      <c r="E460" s="3" t="s">
        <v>56</v>
      </c>
      <c r="F460" s="2">
        <v>43712</v>
      </c>
      <c r="G460" s="2"/>
      <c r="H460" s="737" t="s">
        <v>17</v>
      </c>
      <c r="I460" s="738" t="s">
        <v>18</v>
      </c>
      <c r="J460" s="3" t="s">
        <v>19</v>
      </c>
      <c r="K460" s="3"/>
    </row>
    <row r="461" spans="1:11" ht="43.2" x14ac:dyDescent="0.3">
      <c r="A461" s="3" t="s">
        <v>1057</v>
      </c>
      <c r="B461" s="3" t="str">
        <f>"042765065"</f>
        <v>042765065</v>
      </c>
      <c r="C461" s="3" t="s">
        <v>1055</v>
      </c>
      <c r="D461" s="3" t="s">
        <v>1058</v>
      </c>
      <c r="E461" s="3" t="s">
        <v>64</v>
      </c>
      <c r="F461" s="2">
        <v>44105</v>
      </c>
      <c r="G461" s="2"/>
      <c r="H461" s="739" t="s">
        <v>17</v>
      </c>
      <c r="I461" s="3" t="s">
        <v>41</v>
      </c>
      <c r="J461" s="3" t="s">
        <v>19</v>
      </c>
      <c r="K461" s="3"/>
    </row>
    <row r="462" spans="1:11" ht="57.6" x14ac:dyDescent="0.3">
      <c r="A462" s="3" t="s">
        <v>1059</v>
      </c>
      <c r="B462" s="3" t="str">
        <f>"021539046"</f>
        <v>021539046</v>
      </c>
      <c r="C462" s="3" t="s">
        <v>1060</v>
      </c>
      <c r="D462" s="3" t="s">
        <v>1061</v>
      </c>
      <c r="E462" s="3" t="s">
        <v>1062</v>
      </c>
      <c r="F462" s="2">
        <v>43404</v>
      </c>
      <c r="G462" s="2"/>
      <c r="H462" s="740" t="s">
        <v>37</v>
      </c>
      <c r="I462" s="3" t="s">
        <v>41</v>
      </c>
      <c r="J462" s="3" t="s">
        <v>156</v>
      </c>
      <c r="K462" s="3"/>
    </row>
    <row r="463" spans="1:11" ht="57.6" x14ac:dyDescent="0.3">
      <c r="A463" s="3" t="s">
        <v>1059</v>
      </c>
      <c r="B463" s="3" t="str">
        <f>"021539059"</f>
        <v>021539059</v>
      </c>
      <c r="C463" s="3" t="s">
        <v>1060</v>
      </c>
      <c r="D463" s="3" t="s">
        <v>1063</v>
      </c>
      <c r="E463" s="3" t="s">
        <v>1062</v>
      </c>
      <c r="F463" s="2">
        <v>43799</v>
      </c>
      <c r="G463" s="2"/>
      <c r="H463" s="741" t="s">
        <v>37</v>
      </c>
      <c r="I463" s="3" t="s">
        <v>41</v>
      </c>
      <c r="J463" s="3" t="s">
        <v>156</v>
      </c>
      <c r="K463" s="3"/>
    </row>
    <row r="464" spans="1:11" ht="72" x14ac:dyDescent="0.3">
      <c r="A464" s="3" t="s">
        <v>1059</v>
      </c>
      <c r="B464" s="3" t="str">
        <f>"021539061"</f>
        <v>021539061</v>
      </c>
      <c r="C464" s="3" t="s">
        <v>1060</v>
      </c>
      <c r="D464" s="3" t="s">
        <v>1064</v>
      </c>
      <c r="E464" s="3" t="s">
        <v>1062</v>
      </c>
      <c r="F464" s="2">
        <v>43435</v>
      </c>
      <c r="G464" s="2"/>
      <c r="H464" s="742" t="s">
        <v>37</v>
      </c>
      <c r="I464" s="743" t="s">
        <v>32</v>
      </c>
      <c r="J464" s="3" t="s">
        <v>19</v>
      </c>
      <c r="K464" s="3"/>
    </row>
    <row r="465" spans="1:11" ht="72" x14ac:dyDescent="0.3">
      <c r="A465" s="3" t="s">
        <v>1065</v>
      </c>
      <c r="B465" s="3" t="str">
        <f>"028900013"</f>
        <v>028900013</v>
      </c>
      <c r="C465" s="3" t="s">
        <v>1066</v>
      </c>
      <c r="D465" s="3" t="s">
        <v>1067</v>
      </c>
      <c r="E465" s="3" t="s">
        <v>1068</v>
      </c>
      <c r="F465" s="2">
        <v>42163</v>
      </c>
      <c r="G465" s="2"/>
      <c r="H465" s="744" t="s">
        <v>17</v>
      </c>
      <c r="I465" s="3" t="s">
        <v>41</v>
      </c>
      <c r="J465" s="3" t="s">
        <v>156</v>
      </c>
      <c r="K465" s="3"/>
    </row>
    <row r="466" spans="1:11" ht="43.2" x14ac:dyDescent="0.3">
      <c r="A466" s="3" t="s">
        <v>1069</v>
      </c>
      <c r="B466" s="3" t="str">
        <f>"032318026"</f>
        <v>032318026</v>
      </c>
      <c r="C466" s="3" t="s">
        <v>1070</v>
      </c>
      <c r="D466" s="3" t="s">
        <v>1071</v>
      </c>
      <c r="E466" s="3" t="s">
        <v>1072</v>
      </c>
      <c r="F466" s="2">
        <v>43910</v>
      </c>
      <c r="G466" s="2"/>
      <c r="H466" s="745" t="s">
        <v>17</v>
      </c>
      <c r="I466" s="3" t="s">
        <v>178</v>
      </c>
      <c r="J466" s="3" t="s">
        <v>19</v>
      </c>
      <c r="K466" s="3"/>
    </row>
    <row r="467" spans="1:11" ht="43.2" x14ac:dyDescent="0.3">
      <c r="A467" s="3" t="s">
        <v>1069</v>
      </c>
      <c r="B467" s="3" t="str">
        <f>"032318077"</f>
        <v>032318077</v>
      </c>
      <c r="C467" s="3" t="s">
        <v>1070</v>
      </c>
      <c r="D467" s="3" t="s">
        <v>1073</v>
      </c>
      <c r="E467" s="3" t="s">
        <v>1072</v>
      </c>
      <c r="F467" s="2">
        <v>42495</v>
      </c>
      <c r="G467" s="2"/>
      <c r="H467" s="746" t="s">
        <v>37</v>
      </c>
      <c r="I467" s="747" t="s">
        <v>18</v>
      </c>
      <c r="J467" s="3" t="s">
        <v>19</v>
      </c>
      <c r="K467" s="3"/>
    </row>
    <row r="468" spans="1:11" ht="43.2" x14ac:dyDescent="0.3">
      <c r="A468" s="3" t="s">
        <v>1069</v>
      </c>
      <c r="B468" s="3" t="str">
        <f>"032318053"</f>
        <v>032318053</v>
      </c>
      <c r="C468" s="3" t="s">
        <v>1070</v>
      </c>
      <c r="D468" s="3" t="s">
        <v>1074</v>
      </c>
      <c r="E468" s="3" t="s">
        <v>1072</v>
      </c>
      <c r="F468" s="2">
        <v>42705</v>
      </c>
      <c r="G468" s="2"/>
      <c r="H468" s="748" t="s">
        <v>37</v>
      </c>
      <c r="I468" s="749" t="s">
        <v>18</v>
      </c>
      <c r="J468" s="3" t="s">
        <v>19</v>
      </c>
      <c r="K468" s="3"/>
    </row>
    <row r="469" spans="1:11" ht="43.2" x14ac:dyDescent="0.3">
      <c r="A469" s="3" t="s">
        <v>1069</v>
      </c>
      <c r="B469" s="3" t="str">
        <f>"032318040"</f>
        <v>032318040</v>
      </c>
      <c r="C469" s="3" t="s">
        <v>1070</v>
      </c>
      <c r="D469" s="3" t="s">
        <v>1075</v>
      </c>
      <c r="E469" s="3" t="s">
        <v>1072</v>
      </c>
      <c r="F469" s="2">
        <v>42495</v>
      </c>
      <c r="G469" s="2"/>
      <c r="H469" s="750" t="s">
        <v>37</v>
      </c>
      <c r="I469" s="751" t="s">
        <v>18</v>
      </c>
      <c r="J469" s="3" t="s">
        <v>19</v>
      </c>
      <c r="K469" s="3"/>
    </row>
    <row r="470" spans="1:11" ht="43.2" x14ac:dyDescent="0.3">
      <c r="A470" s="3" t="s">
        <v>1069</v>
      </c>
      <c r="B470" s="3" t="str">
        <f>"032318089"</f>
        <v>032318089</v>
      </c>
      <c r="C470" s="3" t="s">
        <v>1070</v>
      </c>
      <c r="D470" s="3" t="s">
        <v>1076</v>
      </c>
      <c r="E470" s="3" t="s">
        <v>1072</v>
      </c>
      <c r="F470" s="2">
        <v>42495</v>
      </c>
      <c r="G470" s="2"/>
      <c r="H470" s="752" t="s">
        <v>37</v>
      </c>
      <c r="I470" s="753" t="s">
        <v>18</v>
      </c>
      <c r="J470" s="3" t="s">
        <v>19</v>
      </c>
      <c r="K470" s="3"/>
    </row>
    <row r="471" spans="1:11" ht="43.2" x14ac:dyDescent="0.3">
      <c r="A471" s="3" t="s">
        <v>1069</v>
      </c>
      <c r="B471" s="3" t="str">
        <f>"032318038"</f>
        <v>032318038</v>
      </c>
      <c r="C471" s="3" t="s">
        <v>1070</v>
      </c>
      <c r="D471" s="3" t="s">
        <v>1077</v>
      </c>
      <c r="E471" s="3" t="s">
        <v>1072</v>
      </c>
      <c r="F471" s="2">
        <v>42495</v>
      </c>
      <c r="G471" s="2"/>
      <c r="H471" s="754" t="s">
        <v>37</v>
      </c>
      <c r="I471" s="755" t="s">
        <v>18</v>
      </c>
      <c r="J471" s="3" t="s">
        <v>19</v>
      </c>
      <c r="K471" s="3"/>
    </row>
    <row r="472" spans="1:11" ht="43.2" x14ac:dyDescent="0.3">
      <c r="A472" s="3" t="s">
        <v>1069</v>
      </c>
      <c r="B472" s="3" t="str">
        <f>"032318065"</f>
        <v>032318065</v>
      </c>
      <c r="C472" s="3" t="s">
        <v>1070</v>
      </c>
      <c r="D472" s="3" t="s">
        <v>1078</v>
      </c>
      <c r="E472" s="3" t="s">
        <v>1072</v>
      </c>
      <c r="F472" s="2">
        <v>42495</v>
      </c>
      <c r="G472" s="2"/>
      <c r="H472" s="756" t="s">
        <v>37</v>
      </c>
      <c r="I472" s="757" t="s">
        <v>18</v>
      </c>
      <c r="J472" s="3" t="s">
        <v>19</v>
      </c>
      <c r="K472" s="3"/>
    </row>
    <row r="473" spans="1:11" ht="43.2" x14ac:dyDescent="0.3">
      <c r="A473" s="3" t="s">
        <v>1069</v>
      </c>
      <c r="B473" s="3" t="str">
        <f>"032318014"</f>
        <v>032318014</v>
      </c>
      <c r="C473" s="3" t="s">
        <v>1070</v>
      </c>
      <c r="D473" s="3" t="s">
        <v>1079</v>
      </c>
      <c r="E473" s="3" t="s">
        <v>1072</v>
      </c>
      <c r="F473" s="2">
        <v>42495</v>
      </c>
      <c r="G473" s="2"/>
      <c r="H473" s="758" t="s">
        <v>37</v>
      </c>
      <c r="I473" s="759" t="s">
        <v>18</v>
      </c>
      <c r="J473" s="3" t="s">
        <v>19</v>
      </c>
      <c r="K473" s="3"/>
    </row>
    <row r="474" spans="1:11" ht="43.2" x14ac:dyDescent="0.3">
      <c r="A474" s="3" t="s">
        <v>1080</v>
      </c>
      <c r="B474" s="3" t="str">
        <f>"038564035"</f>
        <v>038564035</v>
      </c>
      <c r="C474" s="3" t="s">
        <v>1081</v>
      </c>
      <c r="D474" s="3" t="s">
        <v>1082</v>
      </c>
      <c r="E474" s="3" t="s">
        <v>1083</v>
      </c>
      <c r="F474" s="2">
        <v>42736</v>
      </c>
      <c r="G474" s="2"/>
      <c r="H474" s="760" t="s">
        <v>17</v>
      </c>
      <c r="I474" s="761" t="s">
        <v>32</v>
      </c>
      <c r="J474" s="3" t="s">
        <v>19</v>
      </c>
      <c r="K474" s="3"/>
    </row>
    <row r="475" spans="1:11" ht="43.2" x14ac:dyDescent="0.3">
      <c r="A475" s="3" t="s">
        <v>1084</v>
      </c>
      <c r="B475" s="3" t="str">
        <f>"037653019"</f>
        <v>037653019</v>
      </c>
      <c r="C475" s="3" t="s">
        <v>1081</v>
      </c>
      <c r="D475" s="3" t="s">
        <v>1085</v>
      </c>
      <c r="E475" s="3" t="s">
        <v>64</v>
      </c>
      <c r="F475" s="2">
        <v>44013</v>
      </c>
      <c r="G475" s="2"/>
      <c r="H475" s="762" t="s">
        <v>17</v>
      </c>
      <c r="I475" s="3" t="s">
        <v>41</v>
      </c>
      <c r="J475" s="3" t="s">
        <v>19</v>
      </c>
      <c r="K475" s="3"/>
    </row>
    <row r="476" spans="1:11" ht="43.2" x14ac:dyDescent="0.3">
      <c r="A476" s="3" t="s">
        <v>1084</v>
      </c>
      <c r="B476" s="3" t="str">
        <f>"037653021"</f>
        <v>037653021</v>
      </c>
      <c r="C476" s="3" t="s">
        <v>1081</v>
      </c>
      <c r="D476" s="3" t="s">
        <v>1086</v>
      </c>
      <c r="E476" s="3" t="s">
        <v>64</v>
      </c>
      <c r="F476" s="2">
        <v>44105</v>
      </c>
      <c r="G476" s="2"/>
      <c r="H476" s="763" t="s">
        <v>17</v>
      </c>
      <c r="I476" s="3" t="s">
        <v>41</v>
      </c>
      <c r="J476" s="3" t="s">
        <v>19</v>
      </c>
      <c r="K476" s="3"/>
    </row>
    <row r="477" spans="1:11" ht="43.2" x14ac:dyDescent="0.3">
      <c r="A477" s="3" t="s">
        <v>1087</v>
      </c>
      <c r="B477" s="3" t="str">
        <f>"037318019"</f>
        <v>037318019</v>
      </c>
      <c r="C477" s="3" t="s">
        <v>1081</v>
      </c>
      <c r="D477" s="3" t="s">
        <v>1088</v>
      </c>
      <c r="E477" s="3" t="s">
        <v>27</v>
      </c>
      <c r="F477" s="2">
        <v>41883</v>
      </c>
      <c r="G477" s="2"/>
      <c r="H477" s="764" t="s">
        <v>17</v>
      </c>
      <c r="I477" s="765" t="s">
        <v>18</v>
      </c>
      <c r="J477" s="3" t="s">
        <v>19</v>
      </c>
      <c r="K477" s="3"/>
    </row>
    <row r="478" spans="1:11" ht="57.6" x14ac:dyDescent="0.3">
      <c r="A478" s="3" t="s">
        <v>1089</v>
      </c>
      <c r="B478" s="3" t="str">
        <f>"034419022"</f>
        <v>034419022</v>
      </c>
      <c r="C478" s="3" t="s">
        <v>1090</v>
      </c>
      <c r="D478" s="3" t="s">
        <v>1091</v>
      </c>
      <c r="E478" s="3" t="s">
        <v>1092</v>
      </c>
      <c r="F478" s="2">
        <v>40582</v>
      </c>
      <c r="G478" s="2"/>
      <c r="H478" s="766" t="s">
        <v>37</v>
      </c>
      <c r="I478" s="767" t="s">
        <v>18</v>
      </c>
      <c r="J478" s="3" t="s">
        <v>19</v>
      </c>
      <c r="K478" s="3"/>
    </row>
    <row r="479" spans="1:11" ht="43.2" x14ac:dyDescent="0.3">
      <c r="A479" s="3" t="s">
        <v>1093</v>
      </c>
      <c r="B479" s="3" t="str">
        <f>"022575017"</f>
        <v>022575017</v>
      </c>
      <c r="C479" s="3" t="s">
        <v>1094</v>
      </c>
      <c r="D479" s="3" t="s">
        <v>1095</v>
      </c>
      <c r="E479" s="3" t="s">
        <v>161</v>
      </c>
      <c r="F479" s="2">
        <v>41364</v>
      </c>
      <c r="G479" s="2"/>
      <c r="H479" s="768" t="s">
        <v>17</v>
      </c>
      <c r="I479" s="769" t="s">
        <v>18</v>
      </c>
      <c r="J479" s="3" t="s">
        <v>19</v>
      </c>
      <c r="K479" s="3"/>
    </row>
    <row r="480" spans="1:11" ht="100.8" x14ac:dyDescent="0.3">
      <c r="A480" s="3" t="s">
        <v>1096</v>
      </c>
      <c r="B480" s="3" t="str">
        <f>"037550035"</f>
        <v>037550035</v>
      </c>
      <c r="C480" s="3" t="s">
        <v>1097</v>
      </c>
      <c r="D480" s="3" t="s">
        <v>1098</v>
      </c>
      <c r="E480" s="3" t="s">
        <v>115</v>
      </c>
      <c r="F480" s="2">
        <v>42082</v>
      </c>
      <c r="G480" s="2"/>
      <c r="H480" s="770" t="s">
        <v>17</v>
      </c>
      <c r="I480" s="771" t="s">
        <v>18</v>
      </c>
      <c r="J480" s="3" t="s">
        <v>19</v>
      </c>
      <c r="K480" s="3"/>
    </row>
    <row r="481" spans="1:11" ht="43.2" x14ac:dyDescent="0.3">
      <c r="A481" s="3" t="s">
        <v>1099</v>
      </c>
      <c r="B481" s="3" t="str">
        <f>"035679012"</f>
        <v>035679012</v>
      </c>
      <c r="C481" s="3" t="s">
        <v>1100</v>
      </c>
      <c r="D481" s="3" t="s">
        <v>1101</v>
      </c>
      <c r="E481" s="3" t="s">
        <v>1102</v>
      </c>
      <c r="F481" s="2">
        <v>43586</v>
      </c>
      <c r="G481" s="2"/>
      <c r="H481" s="772" t="s">
        <v>17</v>
      </c>
      <c r="I481" s="773" t="s">
        <v>18</v>
      </c>
      <c r="J481" s="3" t="s">
        <v>19</v>
      </c>
      <c r="K481" s="3"/>
    </row>
    <row r="482" spans="1:11" ht="57.6" x14ac:dyDescent="0.3">
      <c r="A482" s="3" t="s">
        <v>1103</v>
      </c>
      <c r="B482" s="3" t="str">
        <f>"034769113"</f>
        <v>034769113</v>
      </c>
      <c r="C482" s="3" t="s">
        <v>1104</v>
      </c>
      <c r="D482" s="3" t="s">
        <v>1105</v>
      </c>
      <c r="E482" s="3" t="s">
        <v>882</v>
      </c>
      <c r="F482" s="2">
        <v>44092</v>
      </c>
      <c r="G482" s="2"/>
      <c r="H482" s="774" t="s">
        <v>17</v>
      </c>
      <c r="I482" s="775" t="s">
        <v>18</v>
      </c>
      <c r="J482" s="3" t="s">
        <v>19</v>
      </c>
      <c r="K482" s="3"/>
    </row>
    <row r="483" spans="1:11" ht="72" x14ac:dyDescent="0.3">
      <c r="A483" s="3" t="s">
        <v>1103</v>
      </c>
      <c r="B483" s="3" t="str">
        <f>"034769238"</f>
        <v>034769238</v>
      </c>
      <c r="C483" s="3" t="s">
        <v>1104</v>
      </c>
      <c r="D483" s="3" t="s">
        <v>1106</v>
      </c>
      <c r="E483" s="3" t="s">
        <v>882</v>
      </c>
      <c r="F483" s="2">
        <v>44092</v>
      </c>
      <c r="G483" s="2"/>
      <c r="H483" s="776" t="s">
        <v>17</v>
      </c>
      <c r="I483" s="777" t="s">
        <v>18</v>
      </c>
      <c r="J483" s="3" t="s">
        <v>19</v>
      </c>
      <c r="K483" s="3"/>
    </row>
    <row r="484" spans="1:11" ht="57.6" x14ac:dyDescent="0.3">
      <c r="A484" s="3" t="s">
        <v>1103</v>
      </c>
      <c r="B484" s="3" t="str">
        <f>"034769354"</f>
        <v>034769354</v>
      </c>
      <c r="C484" s="3" t="s">
        <v>1104</v>
      </c>
      <c r="D484" s="3" t="s">
        <v>1107</v>
      </c>
      <c r="E484" s="3" t="s">
        <v>882</v>
      </c>
      <c r="F484" s="2">
        <v>44092</v>
      </c>
      <c r="G484" s="2"/>
      <c r="H484" s="778" t="s">
        <v>17</v>
      </c>
      <c r="I484" s="779" t="s">
        <v>18</v>
      </c>
      <c r="J484" s="3" t="s">
        <v>19</v>
      </c>
      <c r="K484" s="3"/>
    </row>
    <row r="485" spans="1:11" ht="43.2" x14ac:dyDescent="0.3">
      <c r="A485" s="3" t="s">
        <v>1103</v>
      </c>
      <c r="B485" s="3" t="str">
        <f>"034769380"</f>
        <v>034769380</v>
      </c>
      <c r="C485" s="3" t="s">
        <v>1104</v>
      </c>
      <c r="D485" s="3" t="s">
        <v>1108</v>
      </c>
      <c r="E485" s="3" t="s">
        <v>882</v>
      </c>
      <c r="F485" s="2">
        <v>44092</v>
      </c>
      <c r="G485" s="2"/>
      <c r="H485" s="780" t="s">
        <v>17</v>
      </c>
      <c r="I485" s="781" t="s">
        <v>18</v>
      </c>
      <c r="J485" s="3" t="s">
        <v>19</v>
      </c>
      <c r="K485" s="3"/>
    </row>
    <row r="486" spans="1:11" ht="43.2" x14ac:dyDescent="0.3">
      <c r="A486" s="3" t="s">
        <v>1103</v>
      </c>
      <c r="B486" s="3" t="str">
        <f>"034769416"</f>
        <v>034769416</v>
      </c>
      <c r="C486" s="3" t="s">
        <v>1104</v>
      </c>
      <c r="D486" s="3" t="s">
        <v>1109</v>
      </c>
      <c r="E486" s="3" t="s">
        <v>882</v>
      </c>
      <c r="F486" s="2">
        <v>44092</v>
      </c>
      <c r="G486" s="2"/>
      <c r="H486" s="782" t="s">
        <v>17</v>
      </c>
      <c r="I486" s="783" t="s">
        <v>18</v>
      </c>
      <c r="J486" s="3" t="s">
        <v>19</v>
      </c>
      <c r="K486" s="3"/>
    </row>
    <row r="487" spans="1:11" ht="43.2" x14ac:dyDescent="0.3">
      <c r="A487" s="3" t="s">
        <v>1103</v>
      </c>
      <c r="B487" s="3" t="str">
        <f>"034769442"</f>
        <v>034769442</v>
      </c>
      <c r="C487" s="3" t="s">
        <v>1104</v>
      </c>
      <c r="D487" s="3" t="s">
        <v>1110</v>
      </c>
      <c r="E487" s="3" t="s">
        <v>882</v>
      </c>
      <c r="F487" s="2">
        <v>44092</v>
      </c>
      <c r="G487" s="2"/>
      <c r="H487" s="784" t="s">
        <v>17</v>
      </c>
      <c r="I487" s="785" t="s">
        <v>18</v>
      </c>
      <c r="J487" s="3" t="s">
        <v>19</v>
      </c>
      <c r="K487" s="3"/>
    </row>
    <row r="488" spans="1:11" ht="43.2" x14ac:dyDescent="0.3">
      <c r="A488" s="3" t="s">
        <v>1103</v>
      </c>
      <c r="B488" s="3" t="str">
        <f>"034769479"</f>
        <v>034769479</v>
      </c>
      <c r="C488" s="3" t="s">
        <v>1104</v>
      </c>
      <c r="D488" s="3" t="s">
        <v>1111</v>
      </c>
      <c r="E488" s="3" t="s">
        <v>882</v>
      </c>
      <c r="F488" s="2">
        <v>44092</v>
      </c>
      <c r="G488" s="2"/>
      <c r="H488" s="786" t="s">
        <v>17</v>
      </c>
      <c r="I488" s="787" t="s">
        <v>18</v>
      </c>
      <c r="J488" s="3" t="s">
        <v>19</v>
      </c>
      <c r="K488" s="3"/>
    </row>
    <row r="489" spans="1:11" ht="43.2" x14ac:dyDescent="0.3">
      <c r="A489" s="3" t="s">
        <v>1112</v>
      </c>
      <c r="B489" s="3" t="str">
        <f>"040409043"</f>
        <v>040409043</v>
      </c>
      <c r="C489" s="3" t="s">
        <v>1113</v>
      </c>
      <c r="D489" s="3" t="s">
        <v>1114</v>
      </c>
      <c r="E489" s="3" t="s">
        <v>1115</v>
      </c>
      <c r="F489" s="2">
        <v>43812</v>
      </c>
      <c r="G489" s="2">
        <v>43857</v>
      </c>
      <c r="H489" s="788" t="s">
        <v>17</v>
      </c>
      <c r="I489" s="3" t="s">
        <v>41</v>
      </c>
      <c r="J489" s="3" t="s">
        <v>19</v>
      </c>
      <c r="K489" s="3"/>
    </row>
    <row r="490" spans="1:11" ht="43.2" x14ac:dyDescent="0.3">
      <c r="A490" s="3" t="s">
        <v>1112</v>
      </c>
      <c r="B490" s="3" t="str">
        <f>"040409056"</f>
        <v>040409056</v>
      </c>
      <c r="C490" s="3" t="s">
        <v>1113</v>
      </c>
      <c r="D490" s="3" t="s">
        <v>1116</v>
      </c>
      <c r="E490" s="3" t="s">
        <v>1115</v>
      </c>
      <c r="F490" s="2">
        <v>44071</v>
      </c>
      <c r="G490" s="2"/>
      <c r="H490" s="789" t="s">
        <v>17</v>
      </c>
      <c r="I490" s="790" t="s">
        <v>18</v>
      </c>
      <c r="J490" s="3" t="s">
        <v>19</v>
      </c>
      <c r="K490" s="3"/>
    </row>
    <row r="491" spans="1:11" ht="57.6" x14ac:dyDescent="0.3">
      <c r="A491" s="3" t="s">
        <v>1117</v>
      </c>
      <c r="B491" s="3" t="str">
        <f>"038037014"</f>
        <v>038037014</v>
      </c>
      <c r="C491" s="3" t="s">
        <v>1118</v>
      </c>
      <c r="D491" s="3" t="s">
        <v>1119</v>
      </c>
      <c r="E491" s="3" t="s">
        <v>24</v>
      </c>
      <c r="F491" s="2">
        <v>43616</v>
      </c>
      <c r="G491" s="2"/>
      <c r="H491" s="791" t="s">
        <v>17</v>
      </c>
      <c r="I491" s="792" t="s">
        <v>18</v>
      </c>
      <c r="J491" s="3" t="s">
        <v>19</v>
      </c>
      <c r="K491" s="3"/>
    </row>
    <row r="492" spans="1:11" ht="43.2" x14ac:dyDescent="0.3">
      <c r="A492" s="3" t="s">
        <v>1120</v>
      </c>
      <c r="B492" s="3" t="str">
        <f>"038599015"</f>
        <v>038599015</v>
      </c>
      <c r="C492" s="3" t="s">
        <v>1121</v>
      </c>
      <c r="D492" s="3" t="s">
        <v>1122</v>
      </c>
      <c r="E492" s="3" t="s">
        <v>1123</v>
      </c>
      <c r="F492" s="2">
        <v>43191</v>
      </c>
      <c r="G492" s="2"/>
      <c r="H492" s="793" t="s">
        <v>17</v>
      </c>
      <c r="I492" s="794" t="s">
        <v>32</v>
      </c>
      <c r="J492" s="3" t="s">
        <v>19</v>
      </c>
      <c r="K492" s="3"/>
    </row>
    <row r="493" spans="1:11" ht="43.2" x14ac:dyDescent="0.3">
      <c r="A493" s="3" t="s">
        <v>1120</v>
      </c>
      <c r="B493" s="3" t="str">
        <f>"038599027"</f>
        <v>038599027</v>
      </c>
      <c r="C493" s="3" t="s">
        <v>1121</v>
      </c>
      <c r="D493" s="3" t="s">
        <v>1124</v>
      </c>
      <c r="E493" s="3" t="s">
        <v>1123</v>
      </c>
      <c r="F493" s="2">
        <v>43191</v>
      </c>
      <c r="G493" s="2"/>
      <c r="H493" s="795" t="s">
        <v>17</v>
      </c>
      <c r="I493" s="796" t="s">
        <v>32</v>
      </c>
      <c r="J493" s="3" t="s">
        <v>19</v>
      </c>
      <c r="K493" s="3"/>
    </row>
    <row r="494" spans="1:11" ht="43.2" x14ac:dyDescent="0.3">
      <c r="A494" s="3" t="s">
        <v>1125</v>
      </c>
      <c r="B494" s="3" t="str">
        <f>"026447033"</f>
        <v>026447033</v>
      </c>
      <c r="C494" s="3" t="s">
        <v>1126</v>
      </c>
      <c r="D494" s="3" t="s">
        <v>1127</v>
      </c>
      <c r="E494" s="3" t="s">
        <v>1128</v>
      </c>
      <c r="F494" s="2">
        <v>42522</v>
      </c>
      <c r="G494" s="2"/>
      <c r="H494" s="797" t="s">
        <v>17</v>
      </c>
      <c r="I494" s="798" t="s">
        <v>18</v>
      </c>
      <c r="J494" s="3" t="s">
        <v>19</v>
      </c>
      <c r="K494" s="3"/>
    </row>
    <row r="495" spans="1:11" ht="43.2" x14ac:dyDescent="0.3">
      <c r="A495" s="3" t="s">
        <v>1125</v>
      </c>
      <c r="B495" s="3" t="str">
        <f>"026447108"</f>
        <v>026447108</v>
      </c>
      <c r="C495" s="3" t="s">
        <v>1126</v>
      </c>
      <c r="D495" s="3" t="s">
        <v>1129</v>
      </c>
      <c r="E495" s="3" t="s">
        <v>1128</v>
      </c>
      <c r="F495" s="2">
        <v>41821</v>
      </c>
      <c r="G495" s="2"/>
      <c r="H495" s="799" t="s">
        <v>17</v>
      </c>
      <c r="I495" s="800" t="s">
        <v>18</v>
      </c>
      <c r="J495" s="3" t="s">
        <v>19</v>
      </c>
      <c r="K495" s="3"/>
    </row>
    <row r="496" spans="1:11" ht="43.2" x14ac:dyDescent="0.3">
      <c r="A496" s="3" t="s">
        <v>1125</v>
      </c>
      <c r="B496" s="3" t="str">
        <f>"026447058"</f>
        <v>026447058</v>
      </c>
      <c r="C496" s="3" t="s">
        <v>1126</v>
      </c>
      <c r="D496" s="3" t="s">
        <v>1130</v>
      </c>
      <c r="E496" s="3" t="s">
        <v>1128</v>
      </c>
      <c r="F496" s="2">
        <v>42217</v>
      </c>
      <c r="G496" s="2"/>
      <c r="H496" s="801" t="s">
        <v>17</v>
      </c>
      <c r="I496" s="802" t="s">
        <v>18</v>
      </c>
      <c r="J496" s="3" t="s">
        <v>19</v>
      </c>
      <c r="K496" s="3"/>
    </row>
    <row r="497" spans="1:11" ht="43.2" x14ac:dyDescent="0.3">
      <c r="A497" s="3" t="s">
        <v>1125</v>
      </c>
      <c r="B497" s="3" t="str">
        <f>"026447045"</f>
        <v>026447045</v>
      </c>
      <c r="C497" s="3" t="s">
        <v>1126</v>
      </c>
      <c r="D497" s="3" t="s">
        <v>1131</v>
      </c>
      <c r="E497" s="3" t="s">
        <v>1128</v>
      </c>
      <c r="F497" s="2">
        <v>41913</v>
      </c>
      <c r="G497" s="2"/>
      <c r="H497" s="803" t="s">
        <v>17</v>
      </c>
      <c r="I497" s="804" t="s">
        <v>18</v>
      </c>
      <c r="J497" s="3" t="s">
        <v>19</v>
      </c>
      <c r="K497" s="3"/>
    </row>
    <row r="498" spans="1:11" ht="43.2" x14ac:dyDescent="0.3">
      <c r="A498" s="3" t="s">
        <v>1132</v>
      </c>
      <c r="B498" s="3" t="str">
        <f>"019163017"</f>
        <v>019163017</v>
      </c>
      <c r="C498" s="3" t="s">
        <v>1133</v>
      </c>
      <c r="D498" s="3" t="s">
        <v>1134</v>
      </c>
      <c r="E498" s="3" t="s">
        <v>600</v>
      </c>
      <c r="F498" s="2">
        <v>44012</v>
      </c>
      <c r="G498" s="2">
        <v>44135</v>
      </c>
      <c r="H498" s="805" t="s">
        <v>37</v>
      </c>
      <c r="I498" s="3" t="s">
        <v>526</v>
      </c>
      <c r="J498" s="3" t="s">
        <v>19</v>
      </c>
      <c r="K498" s="3"/>
    </row>
    <row r="499" spans="1:11" ht="43.2" x14ac:dyDescent="0.3">
      <c r="A499" s="3" t="s">
        <v>1135</v>
      </c>
      <c r="B499" s="3" t="str">
        <f>"038759015"</f>
        <v>038759015</v>
      </c>
      <c r="C499" s="3" t="s">
        <v>616</v>
      </c>
      <c r="D499" s="3" t="s">
        <v>1136</v>
      </c>
      <c r="E499" s="3" t="s">
        <v>126</v>
      </c>
      <c r="F499" s="2">
        <v>43191</v>
      </c>
      <c r="G499" s="2"/>
      <c r="H499" s="806" t="s">
        <v>17</v>
      </c>
      <c r="I499" s="807" t="s">
        <v>32</v>
      </c>
      <c r="J499" s="3" t="s">
        <v>19</v>
      </c>
      <c r="K499" s="3"/>
    </row>
    <row r="500" spans="1:11" ht="57.6" x14ac:dyDescent="0.3">
      <c r="A500" s="3" t="s">
        <v>1137</v>
      </c>
      <c r="B500" s="3" t="str">
        <f>"037913011"</f>
        <v>037913011</v>
      </c>
      <c r="C500" s="3" t="s">
        <v>1138</v>
      </c>
      <c r="D500" s="3" t="s">
        <v>1139</v>
      </c>
      <c r="E500" s="3" t="s">
        <v>1140</v>
      </c>
      <c r="F500" s="2">
        <v>41764</v>
      </c>
      <c r="G500" s="2"/>
      <c r="H500" s="808" t="s">
        <v>17</v>
      </c>
      <c r="I500" s="809" t="s">
        <v>32</v>
      </c>
      <c r="J500" s="3" t="s">
        <v>19</v>
      </c>
      <c r="K500" s="3"/>
    </row>
    <row r="501" spans="1:11" ht="43.2" x14ac:dyDescent="0.3">
      <c r="A501" s="3" t="s">
        <v>1141</v>
      </c>
      <c r="B501" s="3" t="str">
        <f>"037269026"</f>
        <v>037269026</v>
      </c>
      <c r="C501" s="3" t="s">
        <v>1138</v>
      </c>
      <c r="D501" s="3" t="s">
        <v>1142</v>
      </c>
      <c r="E501" s="3" t="s">
        <v>53</v>
      </c>
      <c r="F501" s="2">
        <v>42303</v>
      </c>
      <c r="G501" s="2"/>
      <c r="H501" s="810" t="s">
        <v>17</v>
      </c>
      <c r="I501" s="3" t="s">
        <v>41</v>
      </c>
      <c r="J501" s="3" t="s">
        <v>19</v>
      </c>
      <c r="K501" s="3"/>
    </row>
    <row r="502" spans="1:11" ht="43.2" x14ac:dyDescent="0.3">
      <c r="A502" s="3" t="s">
        <v>1141</v>
      </c>
      <c r="B502" s="3" t="str">
        <f>"037269038"</f>
        <v>037269038</v>
      </c>
      <c r="C502" s="3" t="s">
        <v>1138</v>
      </c>
      <c r="D502" s="3" t="s">
        <v>1139</v>
      </c>
      <c r="E502" s="3" t="s">
        <v>53</v>
      </c>
      <c r="F502" s="2">
        <v>42303</v>
      </c>
      <c r="G502" s="2"/>
      <c r="H502" s="811" t="s">
        <v>17</v>
      </c>
      <c r="I502" s="3" t="s">
        <v>41</v>
      </c>
      <c r="J502" s="3" t="s">
        <v>19</v>
      </c>
      <c r="K502" s="3"/>
    </row>
    <row r="503" spans="1:11" ht="57.6" x14ac:dyDescent="0.3">
      <c r="A503" s="3" t="s">
        <v>1143</v>
      </c>
      <c r="B503" s="3" t="str">
        <f>"039361047"</f>
        <v>039361047</v>
      </c>
      <c r="C503" s="3" t="s">
        <v>1144</v>
      </c>
      <c r="D503" s="3" t="s">
        <v>1145</v>
      </c>
      <c r="E503" s="3" t="s">
        <v>56</v>
      </c>
      <c r="F503" s="2">
        <v>44228</v>
      </c>
      <c r="G503" s="2"/>
      <c r="H503" s="812" t="s">
        <v>17</v>
      </c>
      <c r="I503" s="813" t="s">
        <v>18</v>
      </c>
      <c r="J503" s="3" t="s">
        <v>19</v>
      </c>
      <c r="K503" s="3"/>
    </row>
    <row r="504" spans="1:11" ht="72" x14ac:dyDescent="0.3">
      <c r="A504" s="3" t="s">
        <v>1143</v>
      </c>
      <c r="B504" s="3" t="str">
        <f>"039361148"</f>
        <v>039361148</v>
      </c>
      <c r="C504" s="3" t="s">
        <v>1144</v>
      </c>
      <c r="D504" s="3" t="s">
        <v>1146</v>
      </c>
      <c r="E504" s="3" t="s">
        <v>56</v>
      </c>
      <c r="F504" s="2">
        <v>44136</v>
      </c>
      <c r="G504" s="2"/>
      <c r="H504" s="814" t="s">
        <v>17</v>
      </c>
      <c r="I504" s="815" t="s">
        <v>18</v>
      </c>
      <c r="J504" s="3" t="s">
        <v>19</v>
      </c>
      <c r="K504" s="3"/>
    </row>
    <row r="505" spans="1:11" ht="43.2" x14ac:dyDescent="0.3">
      <c r="A505" s="3" t="s">
        <v>1147</v>
      </c>
      <c r="B505" s="3" t="str">
        <f>"037344013"</f>
        <v>037344013</v>
      </c>
      <c r="C505" s="3" t="s">
        <v>1138</v>
      </c>
      <c r="D505" s="3" t="s">
        <v>1148</v>
      </c>
      <c r="E505" s="3" t="s">
        <v>211</v>
      </c>
      <c r="F505" s="2">
        <v>43616</v>
      </c>
      <c r="G505" s="2"/>
      <c r="H505" s="816" t="s">
        <v>17</v>
      </c>
      <c r="I505" s="817" t="s">
        <v>32</v>
      </c>
      <c r="J505" s="3" t="s">
        <v>19</v>
      </c>
      <c r="K505" s="3"/>
    </row>
    <row r="506" spans="1:11" ht="43.2" x14ac:dyDescent="0.3">
      <c r="A506" s="3" t="s">
        <v>1147</v>
      </c>
      <c r="B506" s="3" t="str">
        <f>"037344025"</f>
        <v>037344025</v>
      </c>
      <c r="C506" s="3" t="s">
        <v>1138</v>
      </c>
      <c r="D506" s="3" t="s">
        <v>1149</v>
      </c>
      <c r="E506" s="3" t="s">
        <v>211</v>
      </c>
      <c r="F506" s="2">
        <v>43616</v>
      </c>
      <c r="G506" s="2"/>
      <c r="H506" s="818" t="s">
        <v>17</v>
      </c>
      <c r="I506" s="819" t="s">
        <v>32</v>
      </c>
      <c r="J506" s="3" t="s">
        <v>19</v>
      </c>
      <c r="K506" s="3"/>
    </row>
    <row r="507" spans="1:11" ht="43.2" x14ac:dyDescent="0.3">
      <c r="A507" s="3" t="s">
        <v>1147</v>
      </c>
      <c r="B507" s="3" t="str">
        <f>"037344037"</f>
        <v>037344037</v>
      </c>
      <c r="C507" s="3" t="s">
        <v>1138</v>
      </c>
      <c r="D507" s="3" t="s">
        <v>1150</v>
      </c>
      <c r="E507" s="3" t="s">
        <v>211</v>
      </c>
      <c r="F507" s="2">
        <v>43616</v>
      </c>
      <c r="G507" s="2"/>
      <c r="H507" s="820" t="s">
        <v>17</v>
      </c>
      <c r="I507" s="821" t="s">
        <v>32</v>
      </c>
      <c r="J507" s="3" t="s">
        <v>19</v>
      </c>
      <c r="K507" s="3"/>
    </row>
    <row r="508" spans="1:11" ht="43.2" x14ac:dyDescent="0.3">
      <c r="A508" s="3" t="s">
        <v>1151</v>
      </c>
      <c r="B508" s="3" t="str">
        <f>"037464563"</f>
        <v>037464563</v>
      </c>
      <c r="C508" s="3" t="s">
        <v>1138</v>
      </c>
      <c r="D508" s="3" t="s">
        <v>1152</v>
      </c>
      <c r="E508" s="3" t="s">
        <v>107</v>
      </c>
      <c r="F508" s="2">
        <v>43391</v>
      </c>
      <c r="G508" s="2"/>
      <c r="H508" s="822" t="s">
        <v>17</v>
      </c>
      <c r="I508" s="823" t="s">
        <v>18</v>
      </c>
      <c r="J508" s="3" t="s">
        <v>19</v>
      </c>
      <c r="K508" s="3"/>
    </row>
    <row r="509" spans="1:11" ht="43.2" x14ac:dyDescent="0.3">
      <c r="A509" s="3" t="s">
        <v>1153</v>
      </c>
      <c r="B509" s="3" t="str">
        <f>"037584012"</f>
        <v>037584012</v>
      </c>
      <c r="C509" s="3" t="s">
        <v>1154</v>
      </c>
      <c r="D509" s="3" t="s">
        <v>1155</v>
      </c>
      <c r="E509" s="3" t="s">
        <v>64</v>
      </c>
      <c r="F509" s="2">
        <v>44044</v>
      </c>
      <c r="G509" s="2"/>
      <c r="H509" s="824" t="s">
        <v>17</v>
      </c>
      <c r="I509" s="3" t="s">
        <v>41</v>
      </c>
      <c r="J509" s="3" t="s">
        <v>19</v>
      </c>
      <c r="K509" s="3"/>
    </row>
    <row r="510" spans="1:11" ht="43.2" x14ac:dyDescent="0.3">
      <c r="A510" s="3" t="s">
        <v>1153</v>
      </c>
      <c r="B510" s="3" t="str">
        <f>"037584101"</f>
        <v>037584101</v>
      </c>
      <c r="C510" s="3" t="s">
        <v>1154</v>
      </c>
      <c r="D510" s="3" t="s">
        <v>1156</v>
      </c>
      <c r="E510" s="3" t="s">
        <v>64</v>
      </c>
      <c r="F510" s="2">
        <v>44156</v>
      </c>
      <c r="G510" s="2"/>
      <c r="H510" s="825" t="s">
        <v>17</v>
      </c>
      <c r="I510" s="3" t="s">
        <v>41</v>
      </c>
      <c r="J510" s="3" t="s">
        <v>19</v>
      </c>
      <c r="K510" s="3"/>
    </row>
    <row r="511" spans="1:11" ht="43.2" x14ac:dyDescent="0.3">
      <c r="A511" s="3" t="s">
        <v>1157</v>
      </c>
      <c r="B511" s="3" t="str">
        <f>"026664122"</f>
        <v>026664122</v>
      </c>
      <c r="C511" s="3" t="s">
        <v>1138</v>
      </c>
      <c r="D511" s="3" t="s">
        <v>1158</v>
      </c>
      <c r="E511" s="3" t="s">
        <v>151</v>
      </c>
      <c r="F511" s="2">
        <v>43664</v>
      </c>
      <c r="G511" s="2">
        <v>44592</v>
      </c>
      <c r="H511" s="826" t="s">
        <v>37</v>
      </c>
      <c r="I511" s="3" t="s">
        <v>41</v>
      </c>
      <c r="J511" s="3" t="s">
        <v>19</v>
      </c>
      <c r="K511" s="3"/>
    </row>
    <row r="512" spans="1:11" ht="43.2" x14ac:dyDescent="0.3">
      <c r="A512" s="3" t="s">
        <v>1157</v>
      </c>
      <c r="B512" s="3" t="str">
        <f>"026664146"</f>
        <v>026664146</v>
      </c>
      <c r="C512" s="3" t="s">
        <v>1138</v>
      </c>
      <c r="D512" s="3" t="s">
        <v>1159</v>
      </c>
      <c r="E512" s="3" t="s">
        <v>151</v>
      </c>
      <c r="F512" s="2">
        <v>42894</v>
      </c>
      <c r="G512" s="2">
        <v>44592</v>
      </c>
      <c r="H512" s="827" t="s">
        <v>37</v>
      </c>
      <c r="I512" s="3" t="s">
        <v>41</v>
      </c>
      <c r="J512" s="3" t="s">
        <v>19</v>
      </c>
      <c r="K512" s="3"/>
    </row>
    <row r="513" spans="1:11" ht="43.2" x14ac:dyDescent="0.3">
      <c r="A513" s="3" t="s">
        <v>1160</v>
      </c>
      <c r="B513" s="3" t="str">
        <f>"042787034"</f>
        <v>042787034</v>
      </c>
      <c r="C513" s="3" t="s">
        <v>1161</v>
      </c>
      <c r="D513" s="3" t="s">
        <v>1162</v>
      </c>
      <c r="E513" s="3" t="s">
        <v>27</v>
      </c>
      <c r="F513" s="2">
        <v>43435</v>
      </c>
      <c r="G513" s="2"/>
      <c r="H513" s="828" t="s">
        <v>17</v>
      </c>
      <c r="I513" s="829" t="s">
        <v>18</v>
      </c>
      <c r="J513" s="3" t="s">
        <v>19</v>
      </c>
      <c r="K513" s="3"/>
    </row>
    <row r="514" spans="1:11" ht="43.2" x14ac:dyDescent="0.3">
      <c r="A514" s="3" t="s">
        <v>1160</v>
      </c>
      <c r="B514" s="3" t="str">
        <f>"042787097"</f>
        <v>042787097</v>
      </c>
      <c r="C514" s="3" t="s">
        <v>1161</v>
      </c>
      <c r="D514" s="3" t="s">
        <v>1163</v>
      </c>
      <c r="E514" s="3" t="s">
        <v>27</v>
      </c>
      <c r="F514" s="2">
        <v>43282</v>
      </c>
      <c r="G514" s="2"/>
      <c r="H514" s="830" t="s">
        <v>17</v>
      </c>
      <c r="I514" s="831" t="s">
        <v>18</v>
      </c>
      <c r="J514" s="3" t="s">
        <v>19</v>
      </c>
      <c r="K514" s="3"/>
    </row>
    <row r="515" spans="1:11" ht="43.2" x14ac:dyDescent="0.3">
      <c r="A515" s="3" t="s">
        <v>1160</v>
      </c>
      <c r="B515" s="3" t="str">
        <f>"042787150"</f>
        <v>042787150</v>
      </c>
      <c r="C515" s="3" t="s">
        <v>1161</v>
      </c>
      <c r="D515" s="3" t="s">
        <v>1164</v>
      </c>
      <c r="E515" s="3" t="s">
        <v>27</v>
      </c>
      <c r="F515" s="2">
        <v>43221</v>
      </c>
      <c r="G515" s="2"/>
      <c r="H515" s="832" t="s">
        <v>17</v>
      </c>
      <c r="I515" s="833" t="s">
        <v>18</v>
      </c>
      <c r="J515" s="3" t="s">
        <v>19</v>
      </c>
      <c r="K515" s="3"/>
    </row>
    <row r="516" spans="1:11" ht="43.2" x14ac:dyDescent="0.3">
      <c r="A516" s="3" t="s">
        <v>1160</v>
      </c>
      <c r="B516" s="3" t="str">
        <f>"042787200"</f>
        <v>042787200</v>
      </c>
      <c r="C516" s="3" t="s">
        <v>1161</v>
      </c>
      <c r="D516" s="3" t="s">
        <v>1165</v>
      </c>
      <c r="E516" s="3" t="s">
        <v>27</v>
      </c>
      <c r="F516" s="2">
        <v>43282</v>
      </c>
      <c r="G516" s="2"/>
      <c r="H516" s="834" t="s">
        <v>17</v>
      </c>
      <c r="I516" s="835" t="s">
        <v>18</v>
      </c>
      <c r="J516" s="3" t="s">
        <v>19</v>
      </c>
      <c r="K516" s="3"/>
    </row>
    <row r="517" spans="1:11" ht="43.2" x14ac:dyDescent="0.3">
      <c r="A517" s="3" t="s">
        <v>1166</v>
      </c>
      <c r="B517" s="3" t="str">
        <f>"043234020"</f>
        <v>043234020</v>
      </c>
      <c r="C517" s="3" t="s">
        <v>1167</v>
      </c>
      <c r="D517" s="3" t="s">
        <v>1168</v>
      </c>
      <c r="E517" s="3" t="s">
        <v>16</v>
      </c>
      <c r="F517" s="2">
        <v>43914</v>
      </c>
      <c r="G517" s="2">
        <v>44196</v>
      </c>
      <c r="H517" s="836" t="s">
        <v>17</v>
      </c>
      <c r="I517" s="3" t="s">
        <v>178</v>
      </c>
      <c r="J517" s="3" t="s">
        <v>19</v>
      </c>
      <c r="K517" s="3"/>
    </row>
    <row r="518" spans="1:11" ht="43.2" x14ac:dyDescent="0.3">
      <c r="A518" s="3" t="s">
        <v>1166</v>
      </c>
      <c r="B518" s="3" t="str">
        <f>"043234044"</f>
        <v>043234044</v>
      </c>
      <c r="C518" s="3" t="s">
        <v>1167</v>
      </c>
      <c r="D518" s="3" t="s">
        <v>1169</v>
      </c>
      <c r="E518" s="3" t="s">
        <v>16</v>
      </c>
      <c r="F518" s="2">
        <v>43922</v>
      </c>
      <c r="G518" s="2">
        <v>44196</v>
      </c>
      <c r="H518" s="837" t="s">
        <v>17</v>
      </c>
      <c r="I518" s="3" t="s">
        <v>41</v>
      </c>
      <c r="J518" s="3" t="s">
        <v>19</v>
      </c>
      <c r="K518" s="3"/>
    </row>
    <row r="519" spans="1:11" ht="57.6" x14ac:dyDescent="0.3">
      <c r="A519" s="3" t="s">
        <v>1166</v>
      </c>
      <c r="B519" s="3" t="str">
        <f>"043234069"</f>
        <v>043234069</v>
      </c>
      <c r="C519" s="3" t="s">
        <v>1167</v>
      </c>
      <c r="D519" s="3" t="s">
        <v>1170</v>
      </c>
      <c r="E519" s="3" t="s">
        <v>16</v>
      </c>
      <c r="F519" s="2">
        <v>43914</v>
      </c>
      <c r="G519" s="2">
        <v>44196</v>
      </c>
      <c r="H519" s="838" t="s">
        <v>17</v>
      </c>
      <c r="I519" s="3" t="s">
        <v>41</v>
      </c>
      <c r="J519" s="3" t="s">
        <v>156</v>
      </c>
      <c r="K519" s="3"/>
    </row>
    <row r="520" spans="1:11" ht="43.2" x14ac:dyDescent="0.3">
      <c r="A520" s="3" t="s">
        <v>1166</v>
      </c>
      <c r="B520" s="3" t="str">
        <f>"043234095"</f>
        <v>043234095</v>
      </c>
      <c r="C520" s="3" t="s">
        <v>1167</v>
      </c>
      <c r="D520" s="3" t="s">
        <v>1171</v>
      </c>
      <c r="E520" s="3" t="s">
        <v>16</v>
      </c>
      <c r="F520" s="2">
        <v>44036</v>
      </c>
      <c r="G520" s="2"/>
      <c r="H520" s="839" t="s">
        <v>17</v>
      </c>
      <c r="I520" s="840" t="s">
        <v>18</v>
      </c>
      <c r="J520" s="3" t="s">
        <v>19</v>
      </c>
      <c r="K520" s="3"/>
    </row>
    <row r="521" spans="1:11" ht="57.6" x14ac:dyDescent="0.3">
      <c r="A521" s="3" t="s">
        <v>1166</v>
      </c>
      <c r="B521" s="3" t="str">
        <f>"043234107"</f>
        <v>043234107</v>
      </c>
      <c r="C521" s="3" t="s">
        <v>1167</v>
      </c>
      <c r="D521" s="3" t="s">
        <v>1172</v>
      </c>
      <c r="E521" s="3" t="s">
        <v>16</v>
      </c>
      <c r="F521" s="2">
        <v>43914</v>
      </c>
      <c r="G521" s="2">
        <v>44196</v>
      </c>
      <c r="H521" s="841" t="s">
        <v>17</v>
      </c>
      <c r="I521" s="3" t="s">
        <v>41</v>
      </c>
      <c r="J521" s="3" t="s">
        <v>156</v>
      </c>
      <c r="K521" s="3"/>
    </row>
    <row r="522" spans="1:11" ht="43.2" x14ac:dyDescent="0.3">
      <c r="A522" s="3" t="s">
        <v>1173</v>
      </c>
      <c r="B522" s="3" t="str">
        <f>"039892029"</f>
        <v>039892029</v>
      </c>
      <c r="C522" s="3" t="s">
        <v>1167</v>
      </c>
      <c r="D522" s="3" t="s">
        <v>1174</v>
      </c>
      <c r="E522" s="3" t="s">
        <v>239</v>
      </c>
      <c r="F522" s="2">
        <v>43495</v>
      </c>
      <c r="G522" s="2"/>
      <c r="H522" s="842" t="s">
        <v>17</v>
      </c>
      <c r="I522" s="843" t="s">
        <v>32</v>
      </c>
      <c r="J522" s="3" t="s">
        <v>19</v>
      </c>
      <c r="K522" s="3"/>
    </row>
    <row r="523" spans="1:11" ht="43.2" x14ac:dyDescent="0.3">
      <c r="A523" s="3" t="s">
        <v>1173</v>
      </c>
      <c r="B523" s="3" t="str">
        <f>"039892068"</f>
        <v>039892068</v>
      </c>
      <c r="C523" s="3" t="s">
        <v>1167</v>
      </c>
      <c r="D523" s="3" t="s">
        <v>1175</v>
      </c>
      <c r="E523" s="3" t="s">
        <v>239</v>
      </c>
      <c r="F523" s="2">
        <v>43495</v>
      </c>
      <c r="G523" s="2"/>
      <c r="H523" s="844" t="s">
        <v>17</v>
      </c>
      <c r="I523" s="845" t="s">
        <v>32</v>
      </c>
      <c r="J523" s="3" t="s">
        <v>19</v>
      </c>
      <c r="K523" s="3"/>
    </row>
    <row r="524" spans="1:11" ht="43.2" x14ac:dyDescent="0.3">
      <c r="A524" s="3" t="s">
        <v>1173</v>
      </c>
      <c r="B524" s="3" t="str">
        <f>"039892106"</f>
        <v>039892106</v>
      </c>
      <c r="C524" s="3" t="s">
        <v>1167</v>
      </c>
      <c r="D524" s="3" t="s">
        <v>1176</v>
      </c>
      <c r="E524" s="3" t="s">
        <v>239</v>
      </c>
      <c r="F524" s="2">
        <v>43495</v>
      </c>
      <c r="G524" s="2"/>
      <c r="H524" s="846" t="s">
        <v>17</v>
      </c>
      <c r="I524" s="847" t="s">
        <v>32</v>
      </c>
      <c r="J524" s="3" t="s">
        <v>19</v>
      </c>
      <c r="K524" s="3"/>
    </row>
    <row r="525" spans="1:11" ht="43.2" x14ac:dyDescent="0.3">
      <c r="A525" s="3" t="s">
        <v>1177</v>
      </c>
      <c r="B525" s="3" t="str">
        <f>"040210015"</f>
        <v>040210015</v>
      </c>
      <c r="C525" s="3" t="s">
        <v>1178</v>
      </c>
      <c r="D525" s="3" t="s">
        <v>1179</v>
      </c>
      <c r="E525" s="3" t="s">
        <v>16</v>
      </c>
      <c r="F525" s="2">
        <v>44129</v>
      </c>
      <c r="G525" s="2">
        <v>44227</v>
      </c>
      <c r="H525" s="848" t="s">
        <v>17</v>
      </c>
      <c r="I525" s="3" t="s">
        <v>41</v>
      </c>
      <c r="J525" s="3" t="s">
        <v>19</v>
      </c>
      <c r="K525" s="3"/>
    </row>
    <row r="526" spans="1:11" ht="57.6" x14ac:dyDescent="0.3">
      <c r="A526" s="3" t="s">
        <v>1177</v>
      </c>
      <c r="B526" s="3" t="str">
        <f>"040210041"</f>
        <v>040210041</v>
      </c>
      <c r="C526" s="3" t="s">
        <v>1178</v>
      </c>
      <c r="D526" s="3" t="s">
        <v>1180</v>
      </c>
      <c r="E526" s="3" t="s">
        <v>16</v>
      </c>
      <c r="F526" s="2">
        <v>44153</v>
      </c>
      <c r="G526" s="2">
        <v>44286</v>
      </c>
      <c r="H526" s="849" t="s">
        <v>17</v>
      </c>
      <c r="I526" s="3" t="s">
        <v>41</v>
      </c>
      <c r="J526" s="3" t="s">
        <v>19</v>
      </c>
      <c r="K526" s="3"/>
    </row>
    <row r="527" spans="1:11" ht="43.2" x14ac:dyDescent="0.3">
      <c r="A527" s="3" t="s">
        <v>1181</v>
      </c>
      <c r="B527" s="3" t="str">
        <f>"032775025"</f>
        <v>032775025</v>
      </c>
      <c r="C527" s="3" t="s">
        <v>1178</v>
      </c>
      <c r="D527" s="3" t="s">
        <v>1182</v>
      </c>
      <c r="E527" s="3" t="s">
        <v>412</v>
      </c>
      <c r="F527" s="2">
        <v>44144</v>
      </c>
      <c r="G527" s="2">
        <v>44196</v>
      </c>
      <c r="H527" s="850" t="s">
        <v>17</v>
      </c>
      <c r="I527" s="3" t="s">
        <v>178</v>
      </c>
      <c r="J527" s="3" t="s">
        <v>19</v>
      </c>
      <c r="K527" s="3"/>
    </row>
    <row r="528" spans="1:11" ht="43.2" x14ac:dyDescent="0.3">
      <c r="A528" s="3" t="s">
        <v>1183</v>
      </c>
      <c r="B528" s="3" t="str">
        <f>"036482026"</f>
        <v>036482026</v>
      </c>
      <c r="C528" s="3" t="s">
        <v>1184</v>
      </c>
      <c r="D528" s="3" t="s">
        <v>1185</v>
      </c>
      <c r="E528" s="3" t="s">
        <v>1186</v>
      </c>
      <c r="F528" s="2">
        <v>42303</v>
      </c>
      <c r="G528" s="2"/>
      <c r="H528" s="851" t="s">
        <v>17</v>
      </c>
      <c r="I528" s="3" t="s">
        <v>41</v>
      </c>
      <c r="J528" s="3" t="s">
        <v>19</v>
      </c>
      <c r="K528" s="3"/>
    </row>
    <row r="529" spans="1:11" ht="43.2" x14ac:dyDescent="0.3">
      <c r="A529" s="3" t="s">
        <v>1183</v>
      </c>
      <c r="B529" s="3" t="str">
        <f>"036482014"</f>
        <v>036482014</v>
      </c>
      <c r="C529" s="3" t="s">
        <v>1184</v>
      </c>
      <c r="D529" s="3" t="s">
        <v>1187</v>
      </c>
      <c r="E529" s="3" t="s">
        <v>1186</v>
      </c>
      <c r="F529" s="2">
        <v>42303</v>
      </c>
      <c r="G529" s="2"/>
      <c r="H529" s="852" t="s">
        <v>17</v>
      </c>
      <c r="I529" s="3" t="s">
        <v>41</v>
      </c>
      <c r="J529" s="3" t="s">
        <v>19</v>
      </c>
      <c r="K529" s="3"/>
    </row>
    <row r="530" spans="1:11" ht="43.2" x14ac:dyDescent="0.3">
      <c r="A530" s="3" t="s">
        <v>1188</v>
      </c>
      <c r="B530" s="3" t="str">
        <f>"038238198"</f>
        <v>038238198</v>
      </c>
      <c r="C530" s="3" t="s">
        <v>1184</v>
      </c>
      <c r="D530" s="3" t="s">
        <v>1189</v>
      </c>
      <c r="E530" s="3" t="s">
        <v>895</v>
      </c>
      <c r="F530" s="2">
        <v>44108</v>
      </c>
      <c r="G530" s="2"/>
      <c r="H530" s="853" t="s">
        <v>17</v>
      </c>
      <c r="I530" s="3" t="s">
        <v>41</v>
      </c>
      <c r="J530" s="3" t="s">
        <v>19</v>
      </c>
      <c r="K530" s="3"/>
    </row>
    <row r="531" spans="1:11" ht="43.2" x14ac:dyDescent="0.3">
      <c r="A531" s="3" t="s">
        <v>1190</v>
      </c>
      <c r="B531" s="3" t="str">
        <f>"037111224"</f>
        <v>037111224</v>
      </c>
      <c r="C531" s="3" t="s">
        <v>1184</v>
      </c>
      <c r="D531" s="3" t="s">
        <v>1191</v>
      </c>
      <c r="E531" s="3" t="s">
        <v>64</v>
      </c>
      <c r="F531" s="2">
        <v>44105</v>
      </c>
      <c r="G531" s="2"/>
      <c r="H531" s="854" t="s">
        <v>17</v>
      </c>
      <c r="I531" s="3" t="s">
        <v>41</v>
      </c>
      <c r="J531" s="3" t="s">
        <v>19</v>
      </c>
      <c r="K531" s="3"/>
    </row>
    <row r="532" spans="1:11" ht="43.2" x14ac:dyDescent="0.3">
      <c r="A532" s="3" t="s">
        <v>1192</v>
      </c>
      <c r="B532" s="3" t="str">
        <f>"036057040"</f>
        <v>036057040</v>
      </c>
      <c r="C532" s="3" t="s">
        <v>1193</v>
      </c>
      <c r="D532" s="3" t="s">
        <v>1194</v>
      </c>
      <c r="E532" s="3" t="s">
        <v>70</v>
      </c>
      <c r="F532" s="2">
        <v>43995</v>
      </c>
      <c r="G532" s="2"/>
      <c r="H532" s="855" t="s">
        <v>17</v>
      </c>
      <c r="I532" s="3" t="s">
        <v>41</v>
      </c>
      <c r="J532" s="3" t="s">
        <v>19</v>
      </c>
      <c r="K532" s="3"/>
    </row>
    <row r="533" spans="1:11" ht="43.2" x14ac:dyDescent="0.3">
      <c r="A533" s="3" t="s">
        <v>1195</v>
      </c>
      <c r="B533" s="3" t="str">
        <f>"042356067"</f>
        <v>042356067</v>
      </c>
      <c r="C533" s="3" t="s">
        <v>1196</v>
      </c>
      <c r="D533" s="3" t="s">
        <v>1197</v>
      </c>
      <c r="E533" s="3" t="s">
        <v>16</v>
      </c>
      <c r="F533" s="2">
        <v>44065</v>
      </c>
      <c r="G533" s="2">
        <v>44255</v>
      </c>
      <c r="H533" s="856" t="s">
        <v>17</v>
      </c>
      <c r="I533" s="3" t="s">
        <v>41</v>
      </c>
      <c r="J533" s="3" t="s">
        <v>19</v>
      </c>
      <c r="K533" s="3"/>
    </row>
    <row r="534" spans="1:11" ht="43.2" x14ac:dyDescent="0.3">
      <c r="A534" s="3" t="s">
        <v>1198</v>
      </c>
      <c r="B534" s="3" t="str">
        <f>"024649081"</f>
        <v>024649081</v>
      </c>
      <c r="C534" s="3" t="s">
        <v>1199</v>
      </c>
      <c r="D534" s="3" t="s">
        <v>1200</v>
      </c>
      <c r="E534" s="3" t="s">
        <v>1044</v>
      </c>
      <c r="F534" s="2">
        <v>44211</v>
      </c>
      <c r="G534" s="2">
        <v>44392</v>
      </c>
      <c r="H534" s="857" t="s">
        <v>17</v>
      </c>
      <c r="I534" s="3" t="s">
        <v>41</v>
      </c>
      <c r="J534" s="3" t="s">
        <v>19</v>
      </c>
      <c r="K534" s="3"/>
    </row>
    <row r="535" spans="1:11" ht="43.2" x14ac:dyDescent="0.3">
      <c r="A535" s="3" t="s">
        <v>1198</v>
      </c>
      <c r="B535" s="3" t="str">
        <f>"024649093"</f>
        <v>024649093</v>
      </c>
      <c r="C535" s="3" t="s">
        <v>1199</v>
      </c>
      <c r="D535" s="3" t="s">
        <v>1201</v>
      </c>
      <c r="E535" s="3" t="s">
        <v>1044</v>
      </c>
      <c r="F535" s="2">
        <v>44180</v>
      </c>
      <c r="G535" s="2">
        <v>44362</v>
      </c>
      <c r="H535" s="858" t="s">
        <v>17</v>
      </c>
      <c r="I535" s="3" t="s">
        <v>41</v>
      </c>
      <c r="J535" s="3" t="s">
        <v>19</v>
      </c>
      <c r="K535" s="3"/>
    </row>
    <row r="536" spans="1:11" ht="43.2" x14ac:dyDescent="0.3">
      <c r="A536" s="3" t="s">
        <v>1202</v>
      </c>
      <c r="B536" s="3" t="str">
        <f>"027566025"</f>
        <v>027566025</v>
      </c>
      <c r="C536" s="3" t="s">
        <v>1199</v>
      </c>
      <c r="D536" s="3" t="s">
        <v>799</v>
      </c>
      <c r="E536" s="3" t="s">
        <v>107</v>
      </c>
      <c r="F536" s="2">
        <v>44501</v>
      </c>
      <c r="G536" s="2"/>
      <c r="H536" s="859" t="s">
        <v>17</v>
      </c>
      <c r="I536" s="860" t="s">
        <v>18</v>
      </c>
      <c r="J536" s="3" t="s">
        <v>19</v>
      </c>
      <c r="K536" s="3"/>
    </row>
    <row r="537" spans="1:11" ht="43.2" x14ac:dyDescent="0.3">
      <c r="A537" s="3" t="s">
        <v>1202</v>
      </c>
      <c r="B537" s="3" t="str">
        <f>"027566037"</f>
        <v>027566037</v>
      </c>
      <c r="C537" s="3" t="s">
        <v>1199</v>
      </c>
      <c r="D537" s="3" t="s">
        <v>1203</v>
      </c>
      <c r="E537" s="3" t="s">
        <v>107</v>
      </c>
      <c r="F537" s="2">
        <v>44713</v>
      </c>
      <c r="G537" s="2"/>
      <c r="H537" s="861" t="s">
        <v>17</v>
      </c>
      <c r="I537" s="862" t="s">
        <v>18</v>
      </c>
      <c r="J537" s="3" t="s">
        <v>19</v>
      </c>
      <c r="K537" s="3"/>
    </row>
    <row r="538" spans="1:11" ht="57.6" x14ac:dyDescent="0.3">
      <c r="A538" s="3" t="s">
        <v>1204</v>
      </c>
      <c r="B538" s="3" t="str">
        <f>"024632073"</f>
        <v>024632073</v>
      </c>
      <c r="C538" s="3" t="s">
        <v>1205</v>
      </c>
      <c r="D538" s="3" t="s">
        <v>1206</v>
      </c>
      <c r="E538" s="3" t="s">
        <v>501</v>
      </c>
      <c r="F538" s="2">
        <v>40367</v>
      </c>
      <c r="G538" s="2"/>
      <c r="H538" s="863" t="s">
        <v>17</v>
      </c>
      <c r="I538" s="864" t="s">
        <v>18</v>
      </c>
      <c r="J538" s="3" t="s">
        <v>19</v>
      </c>
      <c r="K538" s="3"/>
    </row>
    <row r="539" spans="1:11" ht="43.2" x14ac:dyDescent="0.3">
      <c r="A539" s="3" t="s">
        <v>1204</v>
      </c>
      <c r="B539" s="3" t="str">
        <f>"024632097"</f>
        <v>024632097</v>
      </c>
      <c r="C539" s="3" t="s">
        <v>1205</v>
      </c>
      <c r="D539" s="3" t="s">
        <v>1207</v>
      </c>
      <c r="E539" s="3" t="s">
        <v>501</v>
      </c>
      <c r="F539" s="2">
        <v>43137</v>
      </c>
      <c r="G539" s="2"/>
      <c r="H539" s="865" t="s">
        <v>37</v>
      </c>
      <c r="I539" s="866" t="s">
        <v>18</v>
      </c>
      <c r="J539" s="3" t="s">
        <v>19</v>
      </c>
      <c r="K539" s="3"/>
    </row>
    <row r="540" spans="1:11" ht="43.2" x14ac:dyDescent="0.3">
      <c r="A540" s="3" t="s">
        <v>1208</v>
      </c>
      <c r="B540" s="3" t="str">
        <f>"026866069"</f>
        <v>026866069</v>
      </c>
      <c r="C540" s="3" t="s">
        <v>1209</v>
      </c>
      <c r="D540" s="3" t="s">
        <v>1210</v>
      </c>
      <c r="E540" s="3" t="s">
        <v>425</v>
      </c>
      <c r="F540" s="2">
        <v>42516</v>
      </c>
      <c r="G540" s="2"/>
      <c r="H540" s="867" t="s">
        <v>17</v>
      </c>
      <c r="I540" s="868" t="s">
        <v>18</v>
      </c>
      <c r="J540" s="3" t="s">
        <v>19</v>
      </c>
      <c r="K540" s="3"/>
    </row>
    <row r="541" spans="1:11" ht="43.2" x14ac:dyDescent="0.3">
      <c r="A541" s="3" t="s">
        <v>1208</v>
      </c>
      <c r="B541" s="3" t="str">
        <f>"026866071"</f>
        <v>026866071</v>
      </c>
      <c r="C541" s="3" t="s">
        <v>1209</v>
      </c>
      <c r="D541" s="3" t="s">
        <v>1211</v>
      </c>
      <c r="E541" s="3" t="s">
        <v>425</v>
      </c>
      <c r="F541" s="2">
        <v>42516</v>
      </c>
      <c r="G541" s="2"/>
      <c r="H541" s="869" t="s">
        <v>17</v>
      </c>
      <c r="I541" s="870" t="s">
        <v>18</v>
      </c>
      <c r="J541" s="3" t="s">
        <v>19</v>
      </c>
      <c r="K541" s="3"/>
    </row>
    <row r="542" spans="1:11" ht="43.2" x14ac:dyDescent="0.3">
      <c r="A542" s="3" t="s">
        <v>1212</v>
      </c>
      <c r="B542" s="3" t="str">
        <f>"038497018"</f>
        <v>038497018</v>
      </c>
      <c r="C542" s="3" t="s">
        <v>1213</v>
      </c>
      <c r="D542" s="3" t="s">
        <v>1214</v>
      </c>
      <c r="E542" s="3" t="s">
        <v>22</v>
      </c>
      <c r="F542" s="2">
        <v>41730</v>
      </c>
      <c r="G542" s="2"/>
      <c r="H542" s="871" t="s">
        <v>17</v>
      </c>
      <c r="I542" s="872" t="s">
        <v>18</v>
      </c>
      <c r="J542" s="3" t="s">
        <v>19</v>
      </c>
      <c r="K542" s="3"/>
    </row>
    <row r="543" spans="1:11" ht="43.2" x14ac:dyDescent="0.3">
      <c r="A543" s="3" t="s">
        <v>1215</v>
      </c>
      <c r="B543" s="3" t="str">
        <f>"038361010"</f>
        <v>038361010</v>
      </c>
      <c r="C543" s="3" t="s">
        <v>1213</v>
      </c>
      <c r="D543" s="3" t="s">
        <v>1216</v>
      </c>
      <c r="E543" s="3" t="s">
        <v>263</v>
      </c>
      <c r="F543" s="2">
        <v>44255</v>
      </c>
      <c r="G543" s="2"/>
      <c r="H543" s="873" t="s">
        <v>17</v>
      </c>
      <c r="I543" s="874" t="s">
        <v>32</v>
      </c>
      <c r="J543" s="3" t="s">
        <v>19</v>
      </c>
      <c r="K543" s="3"/>
    </row>
    <row r="544" spans="1:11" ht="43.2" x14ac:dyDescent="0.3">
      <c r="A544" s="3" t="s">
        <v>1215</v>
      </c>
      <c r="B544" s="3" t="str">
        <f>"038361022"</f>
        <v>038361022</v>
      </c>
      <c r="C544" s="3" t="s">
        <v>1213</v>
      </c>
      <c r="D544" s="3" t="s">
        <v>1217</v>
      </c>
      <c r="E544" s="3" t="s">
        <v>263</v>
      </c>
      <c r="F544" s="2">
        <v>44316</v>
      </c>
      <c r="G544" s="2"/>
      <c r="H544" s="875" t="s">
        <v>17</v>
      </c>
      <c r="I544" s="876" t="s">
        <v>32</v>
      </c>
      <c r="J544" s="3" t="s">
        <v>19</v>
      </c>
      <c r="K544" s="3"/>
    </row>
    <row r="545" spans="1:11" ht="43.2" x14ac:dyDescent="0.3">
      <c r="A545" s="3" t="s">
        <v>1218</v>
      </c>
      <c r="B545" s="3" t="str">
        <f>"037586043"</f>
        <v>037586043</v>
      </c>
      <c r="C545" s="3" t="s">
        <v>1213</v>
      </c>
      <c r="D545" s="3" t="s">
        <v>1219</v>
      </c>
      <c r="E545" s="3" t="s">
        <v>64</v>
      </c>
      <c r="F545" s="2">
        <v>43952</v>
      </c>
      <c r="G545" s="2"/>
      <c r="H545" s="877" t="s">
        <v>17</v>
      </c>
      <c r="I545" s="3" t="s">
        <v>41</v>
      </c>
      <c r="J545" s="3" t="s">
        <v>19</v>
      </c>
      <c r="K545" s="3"/>
    </row>
    <row r="546" spans="1:11" ht="43.2" x14ac:dyDescent="0.3">
      <c r="A546" s="3" t="s">
        <v>1218</v>
      </c>
      <c r="B546" s="3" t="str">
        <f>"037586144"</f>
        <v>037586144</v>
      </c>
      <c r="C546" s="3" t="s">
        <v>1213</v>
      </c>
      <c r="D546" s="3" t="s">
        <v>1220</v>
      </c>
      <c r="E546" s="3" t="s">
        <v>64</v>
      </c>
      <c r="F546" s="2">
        <v>44044</v>
      </c>
      <c r="G546" s="2"/>
      <c r="H546" s="878" t="s">
        <v>17</v>
      </c>
      <c r="I546" s="3" t="s">
        <v>41</v>
      </c>
      <c r="J546" s="3" t="s">
        <v>19</v>
      </c>
      <c r="K546" s="3"/>
    </row>
    <row r="547" spans="1:11" ht="43.2" x14ac:dyDescent="0.3">
      <c r="A547" s="3" t="s">
        <v>1221</v>
      </c>
      <c r="B547" s="3" t="str">
        <f>"037559174"</f>
        <v>037559174</v>
      </c>
      <c r="C547" s="3" t="s">
        <v>1213</v>
      </c>
      <c r="D547" s="3" t="s">
        <v>1222</v>
      </c>
      <c r="E547" s="3" t="s">
        <v>27</v>
      </c>
      <c r="F547" s="2">
        <v>42767</v>
      </c>
      <c r="G547" s="2"/>
      <c r="H547" s="879" t="s">
        <v>17</v>
      </c>
      <c r="I547" s="880" t="s">
        <v>18</v>
      </c>
      <c r="J547" s="3" t="s">
        <v>19</v>
      </c>
      <c r="K547" s="3"/>
    </row>
    <row r="548" spans="1:11" ht="43.2" x14ac:dyDescent="0.3">
      <c r="A548" s="3" t="s">
        <v>1221</v>
      </c>
      <c r="B548" s="3" t="str">
        <f>"037559022"</f>
        <v>037559022</v>
      </c>
      <c r="C548" s="3" t="s">
        <v>1213</v>
      </c>
      <c r="D548" s="3" t="s">
        <v>1223</v>
      </c>
      <c r="E548" s="3" t="s">
        <v>27</v>
      </c>
      <c r="F548" s="2">
        <v>42767</v>
      </c>
      <c r="G548" s="2"/>
      <c r="H548" s="881" t="s">
        <v>17</v>
      </c>
      <c r="I548" s="882" t="s">
        <v>18</v>
      </c>
      <c r="J548" s="3" t="s">
        <v>19</v>
      </c>
      <c r="K548" s="3"/>
    </row>
    <row r="549" spans="1:11" ht="43.2" x14ac:dyDescent="0.3">
      <c r="A549" s="3" t="s">
        <v>1224</v>
      </c>
      <c r="B549" s="3" t="str">
        <f>"023103120"</f>
        <v>023103120</v>
      </c>
      <c r="C549" s="3" t="s">
        <v>1225</v>
      </c>
      <c r="D549" s="3" t="s">
        <v>1226</v>
      </c>
      <c r="E549" s="3" t="s">
        <v>543</v>
      </c>
      <c r="F549" s="2">
        <v>42458</v>
      </c>
      <c r="G549" s="2"/>
      <c r="H549" s="883" t="s">
        <v>17</v>
      </c>
      <c r="I549" s="884" t="s">
        <v>18</v>
      </c>
      <c r="J549" s="3" t="s">
        <v>19</v>
      </c>
      <c r="K549" s="3"/>
    </row>
    <row r="550" spans="1:11" ht="43.2" x14ac:dyDescent="0.3">
      <c r="A550" s="3" t="s">
        <v>1224</v>
      </c>
      <c r="B550" s="3" t="str">
        <f>"023103118"</f>
        <v>023103118</v>
      </c>
      <c r="C550" s="3" t="s">
        <v>1225</v>
      </c>
      <c r="D550" s="3" t="s">
        <v>1227</v>
      </c>
      <c r="E550" s="3" t="s">
        <v>543</v>
      </c>
      <c r="F550" s="2">
        <v>42472</v>
      </c>
      <c r="G550" s="2"/>
      <c r="H550" s="885" t="s">
        <v>17</v>
      </c>
      <c r="I550" s="886" t="s">
        <v>18</v>
      </c>
      <c r="J550" s="3" t="s">
        <v>19</v>
      </c>
      <c r="K550" s="3"/>
    </row>
    <row r="551" spans="1:11" ht="43.2" x14ac:dyDescent="0.3">
      <c r="A551" s="3" t="s">
        <v>1224</v>
      </c>
      <c r="B551" s="3" t="str">
        <f>"023103106"</f>
        <v>023103106</v>
      </c>
      <c r="C551" s="3" t="s">
        <v>1225</v>
      </c>
      <c r="D551" s="3" t="s">
        <v>1228</v>
      </c>
      <c r="E551" s="3" t="s">
        <v>543</v>
      </c>
      <c r="F551" s="2">
        <v>42458</v>
      </c>
      <c r="G551" s="2"/>
      <c r="H551" s="887" t="s">
        <v>17</v>
      </c>
      <c r="I551" s="888" t="s">
        <v>18</v>
      </c>
      <c r="J551" s="3" t="s">
        <v>19</v>
      </c>
      <c r="K551" s="3"/>
    </row>
    <row r="552" spans="1:11" ht="43.2" x14ac:dyDescent="0.3">
      <c r="A552" s="3" t="s">
        <v>1229</v>
      </c>
      <c r="B552" s="3" t="str">
        <f>"023440050"</f>
        <v>023440050</v>
      </c>
      <c r="C552" s="3" t="s">
        <v>1230</v>
      </c>
      <c r="D552" s="3" t="s">
        <v>1231</v>
      </c>
      <c r="E552" s="3" t="s">
        <v>809</v>
      </c>
      <c r="F552" s="2">
        <v>43344</v>
      </c>
      <c r="G552" s="2"/>
      <c r="H552" s="889" t="s">
        <v>17</v>
      </c>
      <c r="I552" s="890" t="s">
        <v>18</v>
      </c>
      <c r="J552" s="3" t="s">
        <v>19</v>
      </c>
      <c r="K552" s="3"/>
    </row>
    <row r="553" spans="1:11" ht="43.2" x14ac:dyDescent="0.3">
      <c r="A553" s="3" t="s">
        <v>1232</v>
      </c>
      <c r="B553" s="3" t="str">
        <f>"027224031"</f>
        <v>027224031</v>
      </c>
      <c r="C553" s="3" t="s">
        <v>805</v>
      </c>
      <c r="D553" s="3" t="s">
        <v>1233</v>
      </c>
      <c r="E553" s="3" t="s">
        <v>1234</v>
      </c>
      <c r="F553" s="2">
        <v>44012</v>
      </c>
      <c r="G553" s="2">
        <v>44621</v>
      </c>
      <c r="H553" s="891" t="s">
        <v>17</v>
      </c>
      <c r="I553" s="892" t="s">
        <v>32</v>
      </c>
      <c r="J553" s="3" t="s">
        <v>19</v>
      </c>
      <c r="K553" s="3"/>
    </row>
    <row r="554" spans="1:11" ht="43.2" x14ac:dyDescent="0.3">
      <c r="A554" s="3" t="s">
        <v>1235</v>
      </c>
      <c r="B554" s="3" t="str">
        <f>"033745011"</f>
        <v>033745011</v>
      </c>
      <c r="C554" s="3" t="s">
        <v>1236</v>
      </c>
      <c r="D554" s="3" t="s">
        <v>1237</v>
      </c>
      <c r="E554" s="3" t="s">
        <v>1238</v>
      </c>
      <c r="F554" s="2">
        <v>44027</v>
      </c>
      <c r="G554" s="2">
        <v>44377</v>
      </c>
      <c r="H554" s="893" t="s">
        <v>17</v>
      </c>
      <c r="I554" s="3" t="s">
        <v>41</v>
      </c>
      <c r="J554" s="3" t="s">
        <v>19</v>
      </c>
      <c r="K554" s="3"/>
    </row>
    <row r="555" spans="1:11" ht="43.2" x14ac:dyDescent="0.3">
      <c r="A555" s="3" t="s">
        <v>1239</v>
      </c>
      <c r="B555" s="3" t="str">
        <f>"039479023"</f>
        <v>039479023</v>
      </c>
      <c r="C555" s="3" t="s">
        <v>1240</v>
      </c>
      <c r="D555" s="3" t="s">
        <v>1241</v>
      </c>
      <c r="E555" s="3" t="s">
        <v>651</v>
      </c>
      <c r="F555" s="2">
        <v>43072</v>
      </c>
      <c r="G555" s="2"/>
      <c r="H555" s="894" t="s">
        <v>17</v>
      </c>
      <c r="I555" s="895" t="s">
        <v>18</v>
      </c>
      <c r="J555" s="3" t="s">
        <v>19</v>
      </c>
      <c r="K555" s="3"/>
    </row>
    <row r="556" spans="1:11" ht="43.2" x14ac:dyDescent="0.3">
      <c r="A556" s="3" t="s">
        <v>1242</v>
      </c>
      <c r="B556" s="3" t="str">
        <f>"039440021"</f>
        <v>039440021</v>
      </c>
      <c r="C556" s="3" t="s">
        <v>1240</v>
      </c>
      <c r="D556" s="3" t="s">
        <v>1243</v>
      </c>
      <c r="E556" s="3" t="s">
        <v>24</v>
      </c>
      <c r="F556" s="2">
        <v>43223</v>
      </c>
      <c r="G556" s="2"/>
      <c r="H556" s="896" t="s">
        <v>17</v>
      </c>
      <c r="I556" s="897" t="s">
        <v>18</v>
      </c>
      <c r="J556" s="3" t="s">
        <v>19</v>
      </c>
      <c r="K556" s="3"/>
    </row>
    <row r="557" spans="1:11" ht="57.6" x14ac:dyDescent="0.3">
      <c r="A557" s="3" t="s">
        <v>1244</v>
      </c>
      <c r="B557" s="3" t="str">
        <f>"039490026"</f>
        <v>039490026</v>
      </c>
      <c r="C557" s="3" t="s">
        <v>1245</v>
      </c>
      <c r="D557" s="3" t="s">
        <v>1246</v>
      </c>
      <c r="E557" s="3" t="s">
        <v>1247</v>
      </c>
      <c r="F557" s="2">
        <v>41334</v>
      </c>
      <c r="G557" s="2"/>
      <c r="H557" s="898" t="s">
        <v>17</v>
      </c>
      <c r="I557" s="899" t="s">
        <v>18</v>
      </c>
      <c r="J557" s="3" t="s">
        <v>19</v>
      </c>
      <c r="K557" s="3"/>
    </row>
    <row r="558" spans="1:11" ht="57.6" x14ac:dyDescent="0.3">
      <c r="A558" s="3" t="s">
        <v>1248</v>
      </c>
      <c r="B558" s="3" t="str">
        <f>"026890172"</f>
        <v>026890172</v>
      </c>
      <c r="C558" s="3" t="s">
        <v>1249</v>
      </c>
      <c r="D558" s="3" t="s">
        <v>1250</v>
      </c>
      <c r="E558" s="3" t="s">
        <v>1251</v>
      </c>
      <c r="F558" s="2">
        <v>43921</v>
      </c>
      <c r="G558" s="2">
        <v>43962</v>
      </c>
      <c r="H558" s="900" t="s">
        <v>37</v>
      </c>
      <c r="I558" s="3" t="s">
        <v>41</v>
      </c>
      <c r="J558" s="3" t="s">
        <v>156</v>
      </c>
      <c r="K558" s="3"/>
    </row>
    <row r="559" spans="1:11" ht="57.6" x14ac:dyDescent="0.3">
      <c r="A559" s="3" t="s">
        <v>1252</v>
      </c>
      <c r="B559" s="3" t="str">
        <f>"008366015"</f>
        <v>008366015</v>
      </c>
      <c r="C559" s="3" t="s">
        <v>1253</v>
      </c>
      <c r="D559" s="3" t="s">
        <v>1254</v>
      </c>
      <c r="E559" s="3" t="s">
        <v>1255</v>
      </c>
      <c r="F559" s="2">
        <v>43574</v>
      </c>
      <c r="G559" s="2"/>
      <c r="H559" s="901" t="s">
        <v>37</v>
      </c>
      <c r="I559" s="902" t="s">
        <v>18</v>
      </c>
      <c r="J559" s="3" t="s">
        <v>156</v>
      </c>
      <c r="K559" s="3"/>
    </row>
    <row r="560" spans="1:11" ht="43.2" x14ac:dyDescent="0.3">
      <c r="A560" s="3" t="s">
        <v>1256</v>
      </c>
      <c r="B560" s="3" t="str">
        <f>"044349037"</f>
        <v>044349037</v>
      </c>
      <c r="C560" s="3" t="s">
        <v>1257</v>
      </c>
      <c r="D560" s="3" t="s">
        <v>1258</v>
      </c>
      <c r="E560" s="3" t="s">
        <v>27</v>
      </c>
      <c r="F560" s="2">
        <v>44174</v>
      </c>
      <c r="G560" s="2">
        <v>44255</v>
      </c>
      <c r="H560" s="903" t="s">
        <v>17</v>
      </c>
      <c r="I560" s="3" t="s">
        <v>1259</v>
      </c>
      <c r="J560" s="3" t="s">
        <v>19</v>
      </c>
      <c r="K560" s="3"/>
    </row>
    <row r="561" spans="1:11" ht="43.2" x14ac:dyDescent="0.3">
      <c r="A561" s="3" t="s">
        <v>1260</v>
      </c>
      <c r="B561" s="3" t="str">
        <f>"029032012"</f>
        <v>029032012</v>
      </c>
      <c r="C561" s="3" t="s">
        <v>1261</v>
      </c>
      <c r="D561" s="3" t="s">
        <v>1262</v>
      </c>
      <c r="E561" s="3" t="s">
        <v>1263</v>
      </c>
      <c r="F561" s="2">
        <v>43219</v>
      </c>
      <c r="G561" s="2"/>
      <c r="H561" s="904" t="s">
        <v>17</v>
      </c>
      <c r="I561" s="905" t="s">
        <v>18</v>
      </c>
      <c r="J561" s="3" t="s">
        <v>19</v>
      </c>
      <c r="K561" s="3"/>
    </row>
    <row r="562" spans="1:11" ht="43.2" x14ac:dyDescent="0.3">
      <c r="A562" s="3" t="s">
        <v>1260</v>
      </c>
      <c r="B562" s="3" t="str">
        <f>"029032024"</f>
        <v>029032024</v>
      </c>
      <c r="C562" s="3" t="s">
        <v>1261</v>
      </c>
      <c r="D562" s="3" t="s">
        <v>1264</v>
      </c>
      <c r="E562" s="3" t="s">
        <v>1263</v>
      </c>
      <c r="F562" s="2">
        <v>42937</v>
      </c>
      <c r="G562" s="2"/>
      <c r="H562" s="906" t="s">
        <v>17</v>
      </c>
      <c r="I562" s="907" t="s">
        <v>18</v>
      </c>
      <c r="J562" s="3" t="s">
        <v>19</v>
      </c>
      <c r="K562" s="3"/>
    </row>
    <row r="563" spans="1:11" ht="43.2" x14ac:dyDescent="0.3">
      <c r="A563" s="3" t="s">
        <v>1260</v>
      </c>
      <c r="B563" s="3" t="str">
        <f>"029032051"</f>
        <v>029032051</v>
      </c>
      <c r="C563" s="3" t="s">
        <v>1261</v>
      </c>
      <c r="D563" s="3" t="s">
        <v>1265</v>
      </c>
      <c r="E563" s="3" t="s">
        <v>1263</v>
      </c>
      <c r="F563" s="2">
        <v>43732</v>
      </c>
      <c r="G563" s="2"/>
      <c r="H563" s="908" t="s">
        <v>17</v>
      </c>
      <c r="I563" s="909" t="s">
        <v>18</v>
      </c>
      <c r="J563" s="3" t="s">
        <v>19</v>
      </c>
      <c r="K563" s="3"/>
    </row>
    <row r="564" spans="1:11" ht="43.2" x14ac:dyDescent="0.3">
      <c r="A564" s="3" t="s">
        <v>1260</v>
      </c>
      <c r="B564" s="3" t="str">
        <f>"029032063"</f>
        <v>029032063</v>
      </c>
      <c r="C564" s="3" t="s">
        <v>1261</v>
      </c>
      <c r="D564" s="3" t="s">
        <v>1266</v>
      </c>
      <c r="E564" s="3" t="s">
        <v>1263</v>
      </c>
      <c r="F564" s="2">
        <v>43768</v>
      </c>
      <c r="G564" s="2"/>
      <c r="H564" s="910" t="s">
        <v>17</v>
      </c>
      <c r="I564" s="911" t="s">
        <v>18</v>
      </c>
      <c r="J564" s="3" t="s">
        <v>19</v>
      </c>
      <c r="K564" s="3"/>
    </row>
    <row r="565" spans="1:11" ht="43.2" x14ac:dyDescent="0.3">
      <c r="A565" s="3" t="s">
        <v>1267</v>
      </c>
      <c r="B565" s="3" t="str">
        <f>"027000013"</f>
        <v>027000013</v>
      </c>
      <c r="C565" s="3" t="s">
        <v>1268</v>
      </c>
      <c r="D565" s="3" t="s">
        <v>1269</v>
      </c>
      <c r="E565" s="3" t="s">
        <v>270</v>
      </c>
      <c r="F565" s="2">
        <v>43257</v>
      </c>
      <c r="G565" s="2"/>
      <c r="H565" s="912" t="s">
        <v>17</v>
      </c>
      <c r="I565" s="913" t="s">
        <v>18</v>
      </c>
      <c r="J565" s="3" t="s">
        <v>19</v>
      </c>
      <c r="K565" s="3"/>
    </row>
    <row r="566" spans="1:11" ht="57.6" x14ac:dyDescent="0.3">
      <c r="A566" s="3" t="s">
        <v>1270</v>
      </c>
      <c r="B566" s="3" t="str">
        <f>"045312028"</f>
        <v>045312028</v>
      </c>
      <c r="C566" s="3" t="s">
        <v>1271</v>
      </c>
      <c r="D566" s="3" t="s">
        <v>1272</v>
      </c>
      <c r="E566" s="3" t="s">
        <v>16</v>
      </c>
      <c r="F566" s="2">
        <v>43982</v>
      </c>
      <c r="G566" s="2">
        <v>44196</v>
      </c>
      <c r="H566" s="914" t="s">
        <v>17</v>
      </c>
      <c r="I566" s="3" t="s">
        <v>92</v>
      </c>
      <c r="J566" s="3" t="s">
        <v>19</v>
      </c>
      <c r="K566" s="3"/>
    </row>
    <row r="567" spans="1:11" ht="57.6" x14ac:dyDescent="0.3">
      <c r="A567" s="3" t="s">
        <v>1273</v>
      </c>
      <c r="B567" s="3" t="str">
        <f>"042399016"</f>
        <v>042399016</v>
      </c>
      <c r="C567" s="3" t="s">
        <v>1271</v>
      </c>
      <c r="D567" s="3" t="s">
        <v>1274</v>
      </c>
      <c r="E567" s="3" t="s">
        <v>1275</v>
      </c>
      <c r="F567" s="2">
        <v>43252</v>
      </c>
      <c r="G567" s="2"/>
      <c r="H567" s="915" t="s">
        <v>17</v>
      </c>
      <c r="I567" s="916" t="s">
        <v>18</v>
      </c>
      <c r="J567" s="3" t="s">
        <v>19</v>
      </c>
      <c r="K567" s="3"/>
    </row>
    <row r="568" spans="1:11" ht="86.4" x14ac:dyDescent="0.3">
      <c r="A568" s="3" t="s">
        <v>1276</v>
      </c>
      <c r="B568" s="3" t="str">
        <f>"042728016"</f>
        <v>042728016</v>
      </c>
      <c r="C568" s="3" t="s">
        <v>1271</v>
      </c>
      <c r="D568" s="3" t="s">
        <v>1277</v>
      </c>
      <c r="E568" s="3" t="s">
        <v>122</v>
      </c>
      <c r="F568" s="2">
        <v>42662</v>
      </c>
      <c r="G568" s="2"/>
      <c r="H568" s="917" t="s">
        <v>17</v>
      </c>
      <c r="I568" s="918" t="s">
        <v>18</v>
      </c>
      <c r="J568" s="3" t="s">
        <v>19</v>
      </c>
      <c r="K568" s="3"/>
    </row>
    <row r="569" spans="1:11" ht="43.2" x14ac:dyDescent="0.3">
      <c r="A569" s="3" t="s">
        <v>1278</v>
      </c>
      <c r="B569" s="3" t="str">
        <f>"026613048"</f>
        <v>026613048</v>
      </c>
      <c r="C569" s="3" t="s">
        <v>1279</v>
      </c>
      <c r="D569" s="3" t="s">
        <v>1280</v>
      </c>
      <c r="E569" s="3" t="s">
        <v>1281</v>
      </c>
      <c r="F569" s="2">
        <v>42473</v>
      </c>
      <c r="G569" s="2">
        <v>44377</v>
      </c>
      <c r="H569" s="919" t="s">
        <v>37</v>
      </c>
      <c r="I569" s="3" t="s">
        <v>41</v>
      </c>
      <c r="J569" s="3" t="s">
        <v>19</v>
      </c>
      <c r="K569" s="3"/>
    </row>
    <row r="570" spans="1:11" ht="43.2" x14ac:dyDescent="0.3">
      <c r="A570" s="3" t="s">
        <v>1282</v>
      </c>
      <c r="B570" s="3" t="str">
        <f>"023003027"</f>
        <v>023003027</v>
      </c>
      <c r="C570" s="3" t="s">
        <v>1283</v>
      </c>
      <c r="D570" s="3" t="s">
        <v>1284</v>
      </c>
      <c r="E570" s="3" t="s">
        <v>412</v>
      </c>
      <c r="F570" s="2">
        <v>42052</v>
      </c>
      <c r="G570" s="2"/>
      <c r="H570" s="920" t="s">
        <v>37</v>
      </c>
      <c r="I570" s="921" t="s">
        <v>18</v>
      </c>
      <c r="J570" s="3" t="s">
        <v>19</v>
      </c>
      <c r="K570" s="3"/>
    </row>
    <row r="571" spans="1:11" ht="57.6" x14ac:dyDescent="0.3">
      <c r="A571" s="3" t="s">
        <v>1285</v>
      </c>
      <c r="B571" s="3" t="str">
        <f>"034134027"</f>
        <v>034134027</v>
      </c>
      <c r="C571" s="3" t="s">
        <v>536</v>
      </c>
      <c r="D571" s="3" t="s">
        <v>1286</v>
      </c>
      <c r="E571" s="3" t="s">
        <v>1287</v>
      </c>
      <c r="F571" s="2">
        <v>43286</v>
      </c>
      <c r="G571" s="2"/>
      <c r="H571" s="922" t="s">
        <v>17</v>
      </c>
      <c r="I571" s="3" t="s">
        <v>41</v>
      </c>
      <c r="J571" s="3" t="s">
        <v>19</v>
      </c>
      <c r="K571" s="3"/>
    </row>
    <row r="572" spans="1:11" ht="57.6" x14ac:dyDescent="0.3">
      <c r="A572" s="3" t="s">
        <v>1285</v>
      </c>
      <c r="B572" s="3" t="str">
        <f>"034134041"</f>
        <v>034134041</v>
      </c>
      <c r="C572" s="3" t="s">
        <v>536</v>
      </c>
      <c r="D572" s="3" t="s">
        <v>1288</v>
      </c>
      <c r="E572" s="3" t="s">
        <v>1287</v>
      </c>
      <c r="F572" s="2">
        <v>43286</v>
      </c>
      <c r="G572" s="2"/>
      <c r="H572" s="923" t="s">
        <v>17</v>
      </c>
      <c r="I572" s="3" t="s">
        <v>41</v>
      </c>
      <c r="J572" s="3" t="s">
        <v>19</v>
      </c>
      <c r="K572" s="3"/>
    </row>
    <row r="573" spans="1:11" ht="57.6" x14ac:dyDescent="0.3">
      <c r="A573" s="3" t="s">
        <v>1285</v>
      </c>
      <c r="B573" s="3" t="str">
        <f>"034134116"</f>
        <v>034134116</v>
      </c>
      <c r="C573" s="3" t="s">
        <v>536</v>
      </c>
      <c r="D573" s="3" t="s">
        <v>1289</v>
      </c>
      <c r="E573" s="3" t="s">
        <v>1287</v>
      </c>
      <c r="F573" s="2">
        <v>43286</v>
      </c>
      <c r="G573" s="2"/>
      <c r="H573" s="924" t="s">
        <v>17</v>
      </c>
      <c r="I573" s="3" t="s">
        <v>41</v>
      </c>
      <c r="J573" s="3" t="s">
        <v>19</v>
      </c>
      <c r="K573" s="3"/>
    </row>
    <row r="574" spans="1:11" ht="57.6" x14ac:dyDescent="0.3">
      <c r="A574" s="3" t="s">
        <v>1285</v>
      </c>
      <c r="B574" s="3" t="str">
        <f>"034134181"</f>
        <v>034134181</v>
      </c>
      <c r="C574" s="3" t="s">
        <v>536</v>
      </c>
      <c r="D574" s="3" t="s">
        <v>1290</v>
      </c>
      <c r="E574" s="3" t="s">
        <v>1287</v>
      </c>
      <c r="F574" s="2">
        <v>43286</v>
      </c>
      <c r="G574" s="2"/>
      <c r="H574" s="925" t="s">
        <v>17</v>
      </c>
      <c r="I574" s="3" t="s">
        <v>41</v>
      </c>
      <c r="J574" s="3" t="s">
        <v>19</v>
      </c>
      <c r="K574" s="3"/>
    </row>
    <row r="575" spans="1:11" ht="57.6" x14ac:dyDescent="0.3">
      <c r="A575" s="3" t="s">
        <v>1285</v>
      </c>
      <c r="B575" s="3" t="str">
        <f>"034134268"</f>
        <v>034134268</v>
      </c>
      <c r="C575" s="3" t="s">
        <v>536</v>
      </c>
      <c r="D575" s="3" t="s">
        <v>1291</v>
      </c>
      <c r="E575" s="3" t="s">
        <v>1287</v>
      </c>
      <c r="F575" s="2">
        <v>43286</v>
      </c>
      <c r="G575" s="2"/>
      <c r="H575" s="926" t="s">
        <v>17</v>
      </c>
      <c r="I575" s="3" t="s">
        <v>41</v>
      </c>
      <c r="J575" s="3" t="s">
        <v>19</v>
      </c>
      <c r="K575" s="3"/>
    </row>
    <row r="576" spans="1:11" ht="57.6" x14ac:dyDescent="0.3">
      <c r="A576" s="3" t="s">
        <v>1292</v>
      </c>
      <c r="B576" s="3" t="str">
        <f>"035392012"</f>
        <v>035392012</v>
      </c>
      <c r="C576" s="3" t="s">
        <v>1293</v>
      </c>
      <c r="D576" s="3" t="s">
        <v>1294</v>
      </c>
      <c r="E576" s="3" t="s">
        <v>1281</v>
      </c>
      <c r="F576" s="2">
        <v>43497</v>
      </c>
      <c r="G576" s="2">
        <v>44377</v>
      </c>
      <c r="H576" s="927" t="s">
        <v>37</v>
      </c>
      <c r="I576" s="3" t="s">
        <v>41</v>
      </c>
      <c r="J576" s="3" t="s">
        <v>19</v>
      </c>
      <c r="K576" s="3"/>
    </row>
    <row r="577" spans="1:11" ht="57.6" x14ac:dyDescent="0.3">
      <c r="A577" s="3" t="s">
        <v>1295</v>
      </c>
      <c r="B577" s="3" t="str">
        <f>"037225099"</f>
        <v>037225099</v>
      </c>
      <c r="C577" s="3" t="s">
        <v>1296</v>
      </c>
      <c r="D577" s="3" t="s">
        <v>1297</v>
      </c>
      <c r="E577" s="3" t="s">
        <v>1298</v>
      </c>
      <c r="F577" s="2">
        <v>44205</v>
      </c>
      <c r="G577" s="2">
        <v>44347</v>
      </c>
      <c r="H577" s="928" t="s">
        <v>17</v>
      </c>
      <c r="I577" s="3" t="s">
        <v>41</v>
      </c>
      <c r="J577" s="3" t="s">
        <v>19</v>
      </c>
      <c r="K577" s="3"/>
    </row>
    <row r="578" spans="1:11" ht="100.8" x14ac:dyDescent="0.3">
      <c r="A578" s="3" t="s">
        <v>1299</v>
      </c>
      <c r="B578" s="3" t="str">
        <f>"034231035"</f>
        <v>034231035</v>
      </c>
      <c r="C578" s="3" t="s">
        <v>1300</v>
      </c>
      <c r="D578" s="3" t="s">
        <v>1301</v>
      </c>
      <c r="E578" s="3" t="s">
        <v>1302</v>
      </c>
      <c r="F578" s="2">
        <v>43915</v>
      </c>
      <c r="G578" s="2">
        <v>44286</v>
      </c>
      <c r="H578" s="929" t="s">
        <v>37</v>
      </c>
      <c r="I578" s="3" t="s">
        <v>41</v>
      </c>
      <c r="J578" s="3" t="s">
        <v>240</v>
      </c>
      <c r="K578" s="3" t="s">
        <v>1303</v>
      </c>
    </row>
    <row r="579" spans="1:11" ht="43.2" x14ac:dyDescent="0.3">
      <c r="A579" s="3" t="s">
        <v>1304</v>
      </c>
      <c r="B579" s="3" t="str">
        <f>"027136011"</f>
        <v>027136011</v>
      </c>
      <c r="C579" s="3" t="s">
        <v>1305</v>
      </c>
      <c r="D579" s="3" t="s">
        <v>1306</v>
      </c>
      <c r="E579" s="3" t="s">
        <v>1307</v>
      </c>
      <c r="F579" s="2">
        <v>43913</v>
      </c>
      <c r="G579" s="2"/>
      <c r="H579" s="930" t="s">
        <v>37</v>
      </c>
      <c r="I579" s="3" t="s">
        <v>41</v>
      </c>
      <c r="J579" s="3" t="s">
        <v>19</v>
      </c>
      <c r="K579" s="3"/>
    </row>
    <row r="580" spans="1:11" ht="57.6" x14ac:dyDescent="0.3">
      <c r="A580" s="3" t="s">
        <v>1308</v>
      </c>
      <c r="B580" s="3" t="str">
        <f>"019875069"</f>
        <v>019875069</v>
      </c>
      <c r="C580" s="3" t="s">
        <v>1309</v>
      </c>
      <c r="D580" s="3" t="s">
        <v>1310</v>
      </c>
      <c r="E580" s="3" t="s">
        <v>878</v>
      </c>
      <c r="F580" s="2">
        <v>43952</v>
      </c>
      <c r="G580" s="2">
        <v>44317</v>
      </c>
      <c r="H580" s="931" t="s">
        <v>37</v>
      </c>
      <c r="I580" s="932" t="s">
        <v>32</v>
      </c>
      <c r="J580" s="3" t="s">
        <v>19</v>
      </c>
      <c r="K580" s="3"/>
    </row>
    <row r="581" spans="1:11" ht="43.2" x14ac:dyDescent="0.3">
      <c r="A581" s="3" t="s">
        <v>1311</v>
      </c>
      <c r="B581" s="3" t="str">
        <f>"035745013"</f>
        <v>035745013</v>
      </c>
      <c r="C581" s="3" t="s">
        <v>1312</v>
      </c>
      <c r="D581" s="3" t="s">
        <v>1313</v>
      </c>
      <c r="E581" s="3" t="s">
        <v>1314</v>
      </c>
      <c r="F581" s="2">
        <v>43091</v>
      </c>
      <c r="G581" s="2"/>
      <c r="H581" s="933" t="s">
        <v>17</v>
      </c>
      <c r="I581" s="934" t="s">
        <v>18</v>
      </c>
      <c r="J581" s="3" t="s">
        <v>19</v>
      </c>
      <c r="K581" s="3"/>
    </row>
    <row r="582" spans="1:11" ht="43.2" x14ac:dyDescent="0.3">
      <c r="A582" s="3" t="s">
        <v>1311</v>
      </c>
      <c r="B582" s="3" t="str">
        <f>"035745025"</f>
        <v>035745025</v>
      </c>
      <c r="C582" s="3" t="s">
        <v>1312</v>
      </c>
      <c r="D582" s="3" t="s">
        <v>1315</v>
      </c>
      <c r="E582" s="3" t="s">
        <v>1314</v>
      </c>
      <c r="F582" s="2">
        <v>43555</v>
      </c>
      <c r="G582" s="2"/>
      <c r="H582" s="935" t="s">
        <v>17</v>
      </c>
      <c r="I582" s="936" t="s">
        <v>18</v>
      </c>
      <c r="J582" s="3" t="s">
        <v>19</v>
      </c>
      <c r="K582" s="3"/>
    </row>
    <row r="583" spans="1:11" ht="43.2" x14ac:dyDescent="0.3">
      <c r="A583" s="3" t="s">
        <v>1311</v>
      </c>
      <c r="B583" s="3" t="str">
        <f>"035745037"</f>
        <v>035745037</v>
      </c>
      <c r="C583" s="3" t="s">
        <v>1312</v>
      </c>
      <c r="D583" s="3" t="s">
        <v>1316</v>
      </c>
      <c r="E583" s="3" t="s">
        <v>1314</v>
      </c>
      <c r="F583" s="2">
        <v>40921</v>
      </c>
      <c r="G583" s="2"/>
      <c r="H583" s="937" t="s">
        <v>17</v>
      </c>
      <c r="I583" s="938" t="s">
        <v>18</v>
      </c>
      <c r="J583" s="3" t="s">
        <v>19</v>
      </c>
      <c r="K583" s="3"/>
    </row>
    <row r="584" spans="1:11" ht="43.2" x14ac:dyDescent="0.3">
      <c r="A584" s="3" t="s">
        <v>1311</v>
      </c>
      <c r="B584" s="3" t="str">
        <f>"035745049"</f>
        <v>035745049</v>
      </c>
      <c r="C584" s="3" t="s">
        <v>1312</v>
      </c>
      <c r="D584" s="3" t="s">
        <v>1317</v>
      </c>
      <c r="E584" s="3" t="s">
        <v>1314</v>
      </c>
      <c r="F584" s="2">
        <v>43555</v>
      </c>
      <c r="G584" s="2"/>
      <c r="H584" s="939" t="s">
        <v>17</v>
      </c>
      <c r="I584" s="940" t="s">
        <v>18</v>
      </c>
      <c r="J584" s="3" t="s">
        <v>19</v>
      </c>
      <c r="K584" s="3"/>
    </row>
    <row r="585" spans="1:11" ht="43.2" x14ac:dyDescent="0.3">
      <c r="A585" s="3" t="s">
        <v>1311</v>
      </c>
      <c r="B585" s="3" t="str">
        <f>"035745052"</f>
        <v>035745052</v>
      </c>
      <c r="C585" s="3" t="s">
        <v>1312</v>
      </c>
      <c r="D585" s="3" t="s">
        <v>1318</v>
      </c>
      <c r="E585" s="3" t="s">
        <v>1314</v>
      </c>
      <c r="F585" s="2">
        <v>43091</v>
      </c>
      <c r="G585" s="2"/>
      <c r="H585" s="941" t="s">
        <v>17</v>
      </c>
      <c r="I585" s="942" t="s">
        <v>18</v>
      </c>
      <c r="J585" s="3" t="s">
        <v>19</v>
      </c>
      <c r="K585" s="3"/>
    </row>
    <row r="586" spans="1:11" ht="43.2" x14ac:dyDescent="0.3">
      <c r="A586" s="3" t="s">
        <v>1311</v>
      </c>
      <c r="B586" s="3" t="str">
        <f>"035745064"</f>
        <v>035745064</v>
      </c>
      <c r="C586" s="3" t="s">
        <v>1312</v>
      </c>
      <c r="D586" s="3" t="s">
        <v>1319</v>
      </c>
      <c r="E586" s="3" t="s">
        <v>1314</v>
      </c>
      <c r="F586" s="2">
        <v>43555</v>
      </c>
      <c r="G586" s="2"/>
      <c r="H586" s="943" t="s">
        <v>17</v>
      </c>
      <c r="I586" s="944" t="s">
        <v>18</v>
      </c>
      <c r="J586" s="3" t="s">
        <v>19</v>
      </c>
      <c r="K586" s="3"/>
    </row>
    <row r="587" spans="1:11" ht="43.2" x14ac:dyDescent="0.3">
      <c r="A587" s="3" t="s">
        <v>1320</v>
      </c>
      <c r="B587" s="3" t="str">
        <f>"025035027"</f>
        <v>025035027</v>
      </c>
      <c r="C587" s="3" t="s">
        <v>341</v>
      </c>
      <c r="D587" s="3" t="s">
        <v>1321</v>
      </c>
      <c r="E587" s="3" t="s">
        <v>161</v>
      </c>
      <c r="F587" s="2">
        <v>41325</v>
      </c>
      <c r="G587" s="2"/>
      <c r="H587" s="945" t="s">
        <v>17</v>
      </c>
      <c r="I587" s="946" t="s">
        <v>18</v>
      </c>
      <c r="J587" s="3" t="s">
        <v>19</v>
      </c>
      <c r="K587" s="3"/>
    </row>
    <row r="588" spans="1:11" ht="43.2" x14ac:dyDescent="0.3">
      <c r="A588" s="3" t="s">
        <v>1320</v>
      </c>
      <c r="B588" s="3" t="str">
        <f>"025035039"</f>
        <v>025035039</v>
      </c>
      <c r="C588" s="3" t="s">
        <v>341</v>
      </c>
      <c r="D588" s="3" t="s">
        <v>1322</v>
      </c>
      <c r="E588" s="3" t="s">
        <v>161</v>
      </c>
      <c r="F588" s="2">
        <v>43815</v>
      </c>
      <c r="G588" s="2"/>
      <c r="H588" s="947" t="s">
        <v>17</v>
      </c>
      <c r="I588" s="3" t="s">
        <v>38</v>
      </c>
      <c r="J588" s="3" t="s">
        <v>19</v>
      </c>
      <c r="K588" s="3"/>
    </row>
    <row r="589" spans="1:11" ht="43.2" x14ac:dyDescent="0.3">
      <c r="A589" s="3" t="s">
        <v>1323</v>
      </c>
      <c r="B589" s="3" t="str">
        <f>"034242014"</f>
        <v>034242014</v>
      </c>
      <c r="C589" s="3" t="s">
        <v>1324</v>
      </c>
      <c r="D589" s="3" t="s">
        <v>1325</v>
      </c>
      <c r="E589" s="3" t="s">
        <v>1326</v>
      </c>
      <c r="F589" s="2">
        <v>44004</v>
      </c>
      <c r="G589" s="2"/>
      <c r="H589" s="948" t="s">
        <v>17</v>
      </c>
      <c r="I589" s="949" t="s">
        <v>18</v>
      </c>
      <c r="J589" s="3" t="s">
        <v>19</v>
      </c>
      <c r="K589" s="3"/>
    </row>
    <row r="590" spans="1:11" ht="57.6" x14ac:dyDescent="0.3">
      <c r="A590" s="3" t="s">
        <v>1327</v>
      </c>
      <c r="B590" s="3" t="str">
        <f>"029018049"</f>
        <v>029018049</v>
      </c>
      <c r="C590" s="3" t="s">
        <v>1328</v>
      </c>
      <c r="D590" s="3" t="s">
        <v>1329</v>
      </c>
      <c r="E590" s="3" t="s">
        <v>1330</v>
      </c>
      <c r="F590" s="2">
        <v>44034</v>
      </c>
      <c r="G590" s="2">
        <v>44561</v>
      </c>
      <c r="H590" s="950" t="s">
        <v>37</v>
      </c>
      <c r="I590" s="3" t="s">
        <v>1331</v>
      </c>
      <c r="J590" s="3" t="s">
        <v>156</v>
      </c>
      <c r="K590" s="3"/>
    </row>
    <row r="591" spans="1:11" ht="43.2" x14ac:dyDescent="0.3">
      <c r="A591" s="3" t="s">
        <v>1332</v>
      </c>
      <c r="B591" s="3" t="str">
        <f>"030644025"</f>
        <v>030644025</v>
      </c>
      <c r="C591" s="3" t="s">
        <v>1333</v>
      </c>
      <c r="D591" s="3" t="s">
        <v>1334</v>
      </c>
      <c r="E591" s="3" t="s">
        <v>182</v>
      </c>
      <c r="F591" s="2">
        <v>41790</v>
      </c>
      <c r="G591" s="2"/>
      <c r="H591" s="951" t="s">
        <v>37</v>
      </c>
      <c r="I591" s="952" t="s">
        <v>18</v>
      </c>
      <c r="J591" s="3" t="s">
        <v>19</v>
      </c>
      <c r="K591" s="3"/>
    </row>
    <row r="592" spans="1:11" ht="43.2" x14ac:dyDescent="0.3">
      <c r="A592" s="3" t="s">
        <v>1332</v>
      </c>
      <c r="B592" s="3" t="str">
        <f>"030644052"</f>
        <v>030644052</v>
      </c>
      <c r="C592" s="3" t="s">
        <v>1333</v>
      </c>
      <c r="D592" s="3" t="s">
        <v>1335</v>
      </c>
      <c r="E592" s="3" t="s">
        <v>182</v>
      </c>
      <c r="F592" s="2">
        <v>39814</v>
      </c>
      <c r="G592" s="2"/>
      <c r="H592" s="953" t="s">
        <v>37</v>
      </c>
      <c r="I592" s="954" t="s">
        <v>18</v>
      </c>
      <c r="J592" s="3" t="s">
        <v>19</v>
      </c>
      <c r="K592" s="3"/>
    </row>
    <row r="593" spans="1:11" ht="43.2" x14ac:dyDescent="0.3">
      <c r="A593" s="3" t="s">
        <v>1336</v>
      </c>
      <c r="B593" s="3" t="str">
        <f>"028727042"</f>
        <v>028727042</v>
      </c>
      <c r="C593" s="3" t="s">
        <v>1337</v>
      </c>
      <c r="D593" s="3" t="s">
        <v>1338</v>
      </c>
      <c r="E593" s="3" t="s">
        <v>270</v>
      </c>
      <c r="F593" s="2">
        <v>43257</v>
      </c>
      <c r="G593" s="2"/>
      <c r="H593" s="955" t="s">
        <v>17</v>
      </c>
      <c r="I593" s="956" t="s">
        <v>18</v>
      </c>
      <c r="J593" s="3" t="s">
        <v>19</v>
      </c>
      <c r="K593" s="3"/>
    </row>
    <row r="594" spans="1:11" ht="86.4" x14ac:dyDescent="0.3">
      <c r="A594" s="3" t="s">
        <v>1339</v>
      </c>
      <c r="B594" s="3" t="str">
        <f>"023576010"</f>
        <v>023576010</v>
      </c>
      <c r="C594" s="3" t="s">
        <v>1049</v>
      </c>
      <c r="D594" s="3" t="s">
        <v>1340</v>
      </c>
      <c r="E594" s="3" t="s">
        <v>604</v>
      </c>
      <c r="F594" s="2">
        <v>41653</v>
      </c>
      <c r="G594" s="2"/>
      <c r="H594" s="957" t="s">
        <v>37</v>
      </c>
      <c r="I594" s="958" t="s">
        <v>18</v>
      </c>
      <c r="J594" s="3" t="s">
        <v>19</v>
      </c>
      <c r="K594" s="3"/>
    </row>
    <row r="595" spans="1:11" ht="43.2" x14ac:dyDescent="0.3">
      <c r="A595" s="3" t="s">
        <v>1341</v>
      </c>
      <c r="B595" s="3" t="str">
        <f>"044244010"</f>
        <v>044244010</v>
      </c>
      <c r="C595" s="3" t="s">
        <v>1342</v>
      </c>
      <c r="D595" s="3" t="s">
        <v>1343</v>
      </c>
      <c r="E595" s="3" t="s">
        <v>177</v>
      </c>
      <c r="F595" s="2">
        <v>43936</v>
      </c>
      <c r="G595" s="2">
        <v>44561</v>
      </c>
      <c r="H595" s="959" t="s">
        <v>17</v>
      </c>
      <c r="I595" s="3" t="s">
        <v>1344</v>
      </c>
      <c r="J595" s="3" t="s">
        <v>19</v>
      </c>
      <c r="K595" s="3"/>
    </row>
    <row r="596" spans="1:11" ht="43.2" x14ac:dyDescent="0.3">
      <c r="A596" s="3" t="s">
        <v>1341</v>
      </c>
      <c r="B596" s="3" t="str">
        <f>"044244022"</f>
        <v>044244022</v>
      </c>
      <c r="C596" s="3" t="s">
        <v>1342</v>
      </c>
      <c r="D596" s="3" t="s">
        <v>1345</v>
      </c>
      <c r="E596" s="3" t="s">
        <v>177</v>
      </c>
      <c r="F596" s="2">
        <v>43936</v>
      </c>
      <c r="G596" s="2">
        <v>44561</v>
      </c>
      <c r="H596" s="960" t="s">
        <v>17</v>
      </c>
      <c r="I596" s="3" t="s">
        <v>1344</v>
      </c>
      <c r="J596" s="3" t="s">
        <v>19</v>
      </c>
      <c r="K596" s="3"/>
    </row>
    <row r="597" spans="1:11" ht="43.2" x14ac:dyDescent="0.3">
      <c r="A597" s="3" t="s">
        <v>1341</v>
      </c>
      <c r="B597" s="3" t="str">
        <f>"044244034"</f>
        <v>044244034</v>
      </c>
      <c r="C597" s="3" t="s">
        <v>1342</v>
      </c>
      <c r="D597" s="3" t="s">
        <v>1346</v>
      </c>
      <c r="E597" s="3" t="s">
        <v>177</v>
      </c>
      <c r="F597" s="2">
        <v>43936</v>
      </c>
      <c r="G597" s="2">
        <v>44561</v>
      </c>
      <c r="H597" s="961" t="s">
        <v>17</v>
      </c>
      <c r="I597" s="3" t="s">
        <v>1344</v>
      </c>
      <c r="J597" s="3" t="s">
        <v>19</v>
      </c>
      <c r="K597" s="3"/>
    </row>
    <row r="598" spans="1:11" ht="43.2" x14ac:dyDescent="0.3">
      <c r="A598" s="3" t="s">
        <v>1341</v>
      </c>
      <c r="B598" s="3" t="str">
        <f>"044244046"</f>
        <v>044244046</v>
      </c>
      <c r="C598" s="3" t="s">
        <v>1342</v>
      </c>
      <c r="D598" s="3" t="s">
        <v>1347</v>
      </c>
      <c r="E598" s="3" t="s">
        <v>177</v>
      </c>
      <c r="F598" s="2">
        <v>43936</v>
      </c>
      <c r="G598" s="2">
        <v>44561</v>
      </c>
      <c r="H598" s="962" t="s">
        <v>17</v>
      </c>
      <c r="I598" s="3" t="s">
        <v>1344</v>
      </c>
      <c r="J598" s="3" t="s">
        <v>19</v>
      </c>
      <c r="K598" s="3"/>
    </row>
    <row r="599" spans="1:11" ht="43.2" x14ac:dyDescent="0.3">
      <c r="A599" s="3" t="s">
        <v>1348</v>
      </c>
      <c r="B599" s="3" t="str">
        <f>"025314016"</f>
        <v>025314016</v>
      </c>
      <c r="C599" s="3" t="s">
        <v>1236</v>
      </c>
      <c r="D599" s="3" t="s">
        <v>1349</v>
      </c>
      <c r="E599" s="3" t="s">
        <v>412</v>
      </c>
      <c r="F599" s="2">
        <v>44104</v>
      </c>
      <c r="G599" s="2"/>
      <c r="H599" s="963" t="s">
        <v>17</v>
      </c>
      <c r="I599" s="964" t="s">
        <v>18</v>
      </c>
      <c r="J599" s="3" t="s">
        <v>19</v>
      </c>
      <c r="K599" s="3"/>
    </row>
    <row r="600" spans="1:11" ht="43.2" x14ac:dyDescent="0.3">
      <c r="A600" s="3" t="s">
        <v>1350</v>
      </c>
      <c r="B600" s="3" t="str">
        <f>"026773010"</f>
        <v>026773010</v>
      </c>
      <c r="C600" s="3" t="s">
        <v>1351</v>
      </c>
      <c r="D600" s="3" t="s">
        <v>1352</v>
      </c>
      <c r="E600" s="3" t="s">
        <v>1353</v>
      </c>
      <c r="F600" s="2">
        <v>43555</v>
      </c>
      <c r="G600" s="2"/>
      <c r="H600" s="965" t="s">
        <v>17</v>
      </c>
      <c r="I600" s="966" t="s">
        <v>18</v>
      </c>
      <c r="J600" s="3" t="s">
        <v>19</v>
      </c>
      <c r="K600" s="3"/>
    </row>
    <row r="601" spans="1:11" ht="43.2" x14ac:dyDescent="0.3">
      <c r="A601" s="3" t="s">
        <v>1354</v>
      </c>
      <c r="B601" s="3" t="str">
        <f>"042743017"</f>
        <v>042743017</v>
      </c>
      <c r="C601" s="3" t="s">
        <v>1351</v>
      </c>
      <c r="D601" s="3" t="s">
        <v>1355</v>
      </c>
      <c r="E601" s="3" t="s">
        <v>1353</v>
      </c>
      <c r="F601" s="2">
        <v>43616</v>
      </c>
      <c r="G601" s="2"/>
      <c r="H601" s="967" t="s">
        <v>17</v>
      </c>
      <c r="I601" s="968" t="s">
        <v>18</v>
      </c>
      <c r="J601" s="3" t="s">
        <v>19</v>
      </c>
      <c r="K601" s="3"/>
    </row>
    <row r="602" spans="1:11" ht="57.6" x14ac:dyDescent="0.3">
      <c r="A602" s="3" t="s">
        <v>1356</v>
      </c>
      <c r="B602" s="3" t="str">
        <f>"045436019"</f>
        <v>045436019</v>
      </c>
      <c r="C602" s="3" t="s">
        <v>1357</v>
      </c>
      <c r="D602" s="3" t="s">
        <v>1358</v>
      </c>
      <c r="E602" s="3" t="s">
        <v>16</v>
      </c>
      <c r="F602" s="2">
        <v>44043</v>
      </c>
      <c r="G602" s="2">
        <v>44196</v>
      </c>
      <c r="H602" s="969" t="s">
        <v>17</v>
      </c>
      <c r="I602" s="3" t="s">
        <v>41</v>
      </c>
      <c r="J602" s="3" t="s">
        <v>19</v>
      </c>
      <c r="K602" s="3"/>
    </row>
    <row r="603" spans="1:11" ht="57.6" x14ac:dyDescent="0.3">
      <c r="A603" s="3" t="s">
        <v>1356</v>
      </c>
      <c r="B603" s="3" t="str">
        <f>"045436033"</f>
        <v>045436033</v>
      </c>
      <c r="C603" s="3" t="s">
        <v>1357</v>
      </c>
      <c r="D603" s="3" t="s">
        <v>1359</v>
      </c>
      <c r="E603" s="3" t="s">
        <v>16</v>
      </c>
      <c r="F603" s="2">
        <v>44043</v>
      </c>
      <c r="G603" s="2">
        <v>44196</v>
      </c>
      <c r="H603" s="970" t="s">
        <v>17</v>
      </c>
      <c r="I603" s="3" t="s">
        <v>41</v>
      </c>
      <c r="J603" s="3" t="s">
        <v>19</v>
      </c>
      <c r="K603" s="3"/>
    </row>
    <row r="604" spans="1:11" ht="57.6" x14ac:dyDescent="0.3">
      <c r="A604" s="3" t="s">
        <v>1360</v>
      </c>
      <c r="B604" s="3" t="str">
        <f>"045059019"</f>
        <v>045059019</v>
      </c>
      <c r="C604" s="3" t="s">
        <v>1357</v>
      </c>
      <c r="D604" s="3" t="s">
        <v>1361</v>
      </c>
      <c r="E604" s="3" t="s">
        <v>122</v>
      </c>
      <c r="F604" s="2">
        <v>43862</v>
      </c>
      <c r="G604" s="2"/>
      <c r="H604" s="971" t="s">
        <v>17</v>
      </c>
      <c r="I604" s="972" t="s">
        <v>18</v>
      </c>
      <c r="J604" s="3" t="s">
        <v>19</v>
      </c>
      <c r="K604" s="3"/>
    </row>
    <row r="605" spans="1:11" ht="57.6" x14ac:dyDescent="0.3">
      <c r="A605" s="3" t="s">
        <v>1360</v>
      </c>
      <c r="B605" s="3" t="str">
        <f>"045059033"</f>
        <v>045059033</v>
      </c>
      <c r="C605" s="3" t="s">
        <v>1357</v>
      </c>
      <c r="D605" s="3" t="s">
        <v>1362</v>
      </c>
      <c r="E605" s="3" t="s">
        <v>122</v>
      </c>
      <c r="F605" s="2">
        <v>43657</v>
      </c>
      <c r="G605" s="2"/>
      <c r="H605" s="973" t="s">
        <v>17</v>
      </c>
      <c r="I605" s="974" t="s">
        <v>18</v>
      </c>
      <c r="J605" s="3" t="s">
        <v>19</v>
      </c>
      <c r="K605" s="3"/>
    </row>
    <row r="606" spans="1:11" ht="100.8" x14ac:dyDescent="0.3">
      <c r="A606" s="3" t="s">
        <v>1363</v>
      </c>
      <c r="B606" s="3" t="str">
        <f>"044621035"</f>
        <v>044621035</v>
      </c>
      <c r="C606" s="3" t="s">
        <v>1364</v>
      </c>
      <c r="D606" s="3" t="s">
        <v>1365</v>
      </c>
      <c r="E606" s="3" t="s">
        <v>24</v>
      </c>
      <c r="F606" s="2">
        <v>43922</v>
      </c>
      <c r="G606" s="2"/>
      <c r="H606" s="975" t="s">
        <v>17</v>
      </c>
      <c r="I606" s="3" t="s">
        <v>178</v>
      </c>
      <c r="J606" s="3" t="s">
        <v>240</v>
      </c>
      <c r="K606" s="3" t="s">
        <v>1303</v>
      </c>
    </row>
    <row r="607" spans="1:11" ht="57.6" x14ac:dyDescent="0.3">
      <c r="A607" s="3" t="s">
        <v>1366</v>
      </c>
      <c r="B607" s="3" t="str">
        <f>"014729180"</f>
        <v>014729180</v>
      </c>
      <c r="C607" s="3" t="s">
        <v>1367</v>
      </c>
      <c r="D607" s="3" t="s">
        <v>1368</v>
      </c>
      <c r="E607" s="3" t="s">
        <v>371</v>
      </c>
      <c r="F607" s="2">
        <v>44144</v>
      </c>
      <c r="G607" s="2">
        <v>44180</v>
      </c>
      <c r="H607" s="976" t="s">
        <v>17</v>
      </c>
      <c r="I607" s="3" t="s">
        <v>178</v>
      </c>
      <c r="J607" s="3" t="s">
        <v>156</v>
      </c>
      <c r="K607" s="3"/>
    </row>
    <row r="608" spans="1:11" ht="57.6" x14ac:dyDescent="0.3">
      <c r="A608" s="3" t="s">
        <v>1366</v>
      </c>
      <c r="B608" s="3" t="str">
        <f>"014729166"</f>
        <v>014729166</v>
      </c>
      <c r="C608" s="3" t="s">
        <v>1367</v>
      </c>
      <c r="D608" s="3" t="s">
        <v>1369</v>
      </c>
      <c r="E608" s="3" t="s">
        <v>371</v>
      </c>
      <c r="F608" s="2">
        <v>44137</v>
      </c>
      <c r="G608" s="2">
        <v>44180</v>
      </c>
      <c r="H608" s="977" t="s">
        <v>17</v>
      </c>
      <c r="I608" s="3" t="s">
        <v>178</v>
      </c>
      <c r="J608" s="3" t="s">
        <v>156</v>
      </c>
      <c r="K608" s="3"/>
    </row>
    <row r="609" spans="1:11" ht="43.2" x14ac:dyDescent="0.3">
      <c r="A609" s="3" t="s">
        <v>1370</v>
      </c>
      <c r="B609" s="3" t="str">
        <f>"027696032"</f>
        <v>027696032</v>
      </c>
      <c r="C609" s="3" t="s">
        <v>1371</v>
      </c>
      <c r="D609" s="3" t="s">
        <v>1372</v>
      </c>
      <c r="E609" s="3" t="s">
        <v>543</v>
      </c>
      <c r="F609" s="2">
        <v>43831</v>
      </c>
      <c r="G609" s="2"/>
      <c r="H609" s="978" t="s">
        <v>37</v>
      </c>
      <c r="I609" s="979" t="s">
        <v>18</v>
      </c>
      <c r="J609" s="3" t="s">
        <v>19</v>
      </c>
      <c r="K609" s="3"/>
    </row>
    <row r="610" spans="1:11" ht="43.2" x14ac:dyDescent="0.3">
      <c r="A610" s="3" t="s">
        <v>1370</v>
      </c>
      <c r="B610" s="3" t="str">
        <f>"027696044"</f>
        <v>027696044</v>
      </c>
      <c r="C610" s="3" t="s">
        <v>1371</v>
      </c>
      <c r="D610" s="3" t="s">
        <v>1373</v>
      </c>
      <c r="E610" s="3" t="s">
        <v>543</v>
      </c>
      <c r="F610" s="2">
        <v>43172</v>
      </c>
      <c r="G610" s="2"/>
      <c r="H610" s="980" t="s">
        <v>37</v>
      </c>
      <c r="I610" s="981" t="s">
        <v>18</v>
      </c>
      <c r="J610" s="3" t="s">
        <v>19</v>
      </c>
      <c r="K610" s="3"/>
    </row>
    <row r="611" spans="1:11" ht="43.2" x14ac:dyDescent="0.3">
      <c r="A611" s="3" t="s">
        <v>1374</v>
      </c>
      <c r="B611" s="3" t="str">
        <f>"036073017"</f>
        <v>036073017</v>
      </c>
      <c r="C611" s="3" t="s">
        <v>1375</v>
      </c>
      <c r="D611" s="3" t="s">
        <v>1376</v>
      </c>
      <c r="E611" s="3" t="s">
        <v>263</v>
      </c>
      <c r="F611" s="2">
        <v>40908</v>
      </c>
      <c r="G611" s="2"/>
      <c r="H611" s="982" t="s">
        <v>17</v>
      </c>
      <c r="I611" s="983" t="s">
        <v>18</v>
      </c>
      <c r="J611" s="3" t="s">
        <v>19</v>
      </c>
      <c r="K611" s="3"/>
    </row>
    <row r="612" spans="1:11" ht="43.2" x14ac:dyDescent="0.3">
      <c r="A612" s="3" t="s">
        <v>1377</v>
      </c>
      <c r="B612" s="3" t="str">
        <f>"036425015"</f>
        <v>036425015</v>
      </c>
      <c r="C612" s="3" t="s">
        <v>1375</v>
      </c>
      <c r="D612" s="3" t="s">
        <v>1378</v>
      </c>
      <c r="E612" s="3" t="s">
        <v>64</v>
      </c>
      <c r="F612" s="2">
        <v>44044</v>
      </c>
      <c r="G612" s="2"/>
      <c r="H612" s="984" t="s">
        <v>17</v>
      </c>
      <c r="I612" s="3" t="s">
        <v>41</v>
      </c>
      <c r="J612" s="3" t="s">
        <v>19</v>
      </c>
      <c r="K612" s="3"/>
    </row>
    <row r="613" spans="1:11" ht="43.2" x14ac:dyDescent="0.3">
      <c r="A613" s="3" t="s">
        <v>1379</v>
      </c>
      <c r="B613" s="3" t="str">
        <f>"016761037"</f>
        <v>016761037</v>
      </c>
      <c r="C613" s="3" t="s">
        <v>1380</v>
      </c>
      <c r="D613" s="3" t="s">
        <v>1381</v>
      </c>
      <c r="E613" s="3" t="s">
        <v>31</v>
      </c>
      <c r="F613" s="2">
        <v>43109</v>
      </c>
      <c r="G613" s="2"/>
      <c r="H613" s="985" t="s">
        <v>37</v>
      </c>
      <c r="I613" s="986" t="s">
        <v>32</v>
      </c>
      <c r="J613" s="3" t="s">
        <v>19</v>
      </c>
      <c r="K613" s="3"/>
    </row>
    <row r="614" spans="1:11" ht="43.2" x14ac:dyDescent="0.3">
      <c r="A614" s="3" t="s">
        <v>1382</v>
      </c>
      <c r="B614" s="3" t="str">
        <f>"041261052"</f>
        <v>041261052</v>
      </c>
      <c r="C614" s="3" t="s">
        <v>1383</v>
      </c>
      <c r="D614" s="3" t="s">
        <v>1384</v>
      </c>
      <c r="E614" s="3" t="s">
        <v>1385</v>
      </c>
      <c r="F614" s="2">
        <v>42781</v>
      </c>
      <c r="G614" s="2"/>
      <c r="H614" s="987" t="s">
        <v>37</v>
      </c>
      <c r="I614" s="988" t="s">
        <v>18</v>
      </c>
      <c r="J614" s="3" t="s">
        <v>19</v>
      </c>
      <c r="K614" s="3"/>
    </row>
    <row r="615" spans="1:11" ht="43.2" x14ac:dyDescent="0.3">
      <c r="A615" s="3" t="s">
        <v>1382</v>
      </c>
      <c r="B615" s="3" t="str">
        <f>"041261013"</f>
        <v>041261013</v>
      </c>
      <c r="C615" s="3" t="s">
        <v>1383</v>
      </c>
      <c r="D615" s="3" t="s">
        <v>1386</v>
      </c>
      <c r="E615" s="3" t="s">
        <v>1385</v>
      </c>
      <c r="F615" s="2">
        <v>42781</v>
      </c>
      <c r="G615" s="2"/>
      <c r="H615" s="989" t="s">
        <v>37</v>
      </c>
      <c r="I615" s="990" t="s">
        <v>18</v>
      </c>
      <c r="J615" s="3" t="s">
        <v>19</v>
      </c>
      <c r="K615" s="3"/>
    </row>
    <row r="616" spans="1:11" ht="57.6" x14ac:dyDescent="0.3">
      <c r="A616" s="3" t="s">
        <v>1387</v>
      </c>
      <c r="B616" s="3" t="str">
        <f>"020329013"</f>
        <v>020329013</v>
      </c>
      <c r="C616" s="3" t="s">
        <v>1388</v>
      </c>
      <c r="D616" s="3" t="s">
        <v>1389</v>
      </c>
      <c r="E616" s="3" t="s">
        <v>412</v>
      </c>
      <c r="F616" s="2">
        <v>42885</v>
      </c>
      <c r="G616" s="2"/>
      <c r="H616" s="991" t="s">
        <v>37</v>
      </c>
      <c r="I616" s="992" t="s">
        <v>18</v>
      </c>
      <c r="J616" s="3" t="s">
        <v>19</v>
      </c>
      <c r="K616" s="3"/>
    </row>
    <row r="617" spans="1:11" ht="57.6" x14ac:dyDescent="0.3">
      <c r="A617" s="3" t="s">
        <v>1387</v>
      </c>
      <c r="B617" s="3" t="str">
        <f>"020329088"</f>
        <v>020329088</v>
      </c>
      <c r="C617" s="3" t="s">
        <v>1388</v>
      </c>
      <c r="D617" s="3" t="s">
        <v>1390</v>
      </c>
      <c r="E617" s="3" t="s">
        <v>412</v>
      </c>
      <c r="F617" s="2">
        <v>40785</v>
      </c>
      <c r="G617" s="2"/>
      <c r="H617" s="993" t="s">
        <v>37</v>
      </c>
      <c r="I617" s="994" t="s">
        <v>18</v>
      </c>
      <c r="J617" s="3" t="s">
        <v>19</v>
      </c>
      <c r="K617" s="3"/>
    </row>
    <row r="618" spans="1:11" ht="57.6" x14ac:dyDescent="0.3">
      <c r="A618" s="3" t="s">
        <v>1391</v>
      </c>
      <c r="B618" s="3" t="str">
        <f>"036593010"</f>
        <v>036593010</v>
      </c>
      <c r="C618" s="3" t="s">
        <v>1392</v>
      </c>
      <c r="D618" s="3" t="s">
        <v>1393</v>
      </c>
      <c r="E618" s="3" t="s">
        <v>1394</v>
      </c>
      <c r="F618" s="2">
        <v>42901</v>
      </c>
      <c r="G618" s="2"/>
      <c r="H618" s="995" t="s">
        <v>37</v>
      </c>
      <c r="I618" s="3" t="s">
        <v>41</v>
      </c>
      <c r="J618" s="3" t="s">
        <v>156</v>
      </c>
      <c r="K618" s="3"/>
    </row>
    <row r="619" spans="1:11" ht="43.2" x14ac:dyDescent="0.3">
      <c r="A619" s="3" t="s">
        <v>1395</v>
      </c>
      <c r="B619" s="3" t="str">
        <f>"026070033"</f>
        <v>026070033</v>
      </c>
      <c r="C619" s="3" t="s">
        <v>167</v>
      </c>
      <c r="D619" s="3" t="s">
        <v>1396</v>
      </c>
      <c r="E619" s="3" t="s">
        <v>169</v>
      </c>
      <c r="F619" s="2">
        <v>42018</v>
      </c>
      <c r="G619" s="2"/>
      <c r="H619" s="996" t="s">
        <v>17</v>
      </c>
      <c r="I619" s="3" t="s">
        <v>41</v>
      </c>
      <c r="J619" s="3" t="s">
        <v>19</v>
      </c>
      <c r="K619" s="3"/>
    </row>
    <row r="620" spans="1:11" ht="43.2" x14ac:dyDescent="0.3">
      <c r="A620" s="3" t="s">
        <v>1397</v>
      </c>
      <c r="B620" s="3" t="str">
        <f>"029157017"</f>
        <v>029157017</v>
      </c>
      <c r="C620" s="3" t="s">
        <v>1398</v>
      </c>
      <c r="D620" s="3" t="s">
        <v>1399</v>
      </c>
      <c r="E620" s="3" t="s">
        <v>161</v>
      </c>
      <c r="F620" s="2">
        <v>44053</v>
      </c>
      <c r="G620" s="2"/>
      <c r="H620" s="997" t="s">
        <v>37</v>
      </c>
      <c r="I620" s="998" t="s">
        <v>18</v>
      </c>
      <c r="J620" s="3" t="s">
        <v>19</v>
      </c>
      <c r="K620" s="3"/>
    </row>
    <row r="621" spans="1:11" ht="43.2" x14ac:dyDescent="0.3">
      <c r="A621" s="3" t="s">
        <v>1400</v>
      </c>
      <c r="B621" s="3" t="str">
        <f>"021266022"</f>
        <v>021266022</v>
      </c>
      <c r="C621" s="3" t="s">
        <v>1401</v>
      </c>
      <c r="D621" s="3" t="s">
        <v>1402</v>
      </c>
      <c r="E621" s="3" t="s">
        <v>425</v>
      </c>
      <c r="F621" s="2">
        <v>41921</v>
      </c>
      <c r="G621" s="2"/>
      <c r="H621" s="999" t="s">
        <v>17</v>
      </c>
      <c r="I621" s="1000" t="s">
        <v>18</v>
      </c>
      <c r="J621" s="3" t="s">
        <v>19</v>
      </c>
      <c r="K621" s="3"/>
    </row>
    <row r="622" spans="1:11" ht="43.2" x14ac:dyDescent="0.3">
      <c r="A622" s="3" t="s">
        <v>1403</v>
      </c>
      <c r="B622" s="3" t="str">
        <f>"022705038"</f>
        <v>022705038</v>
      </c>
      <c r="C622" s="3" t="s">
        <v>1404</v>
      </c>
      <c r="D622" s="3" t="s">
        <v>1405</v>
      </c>
      <c r="E622" s="3" t="s">
        <v>425</v>
      </c>
      <c r="F622" s="2">
        <v>41949</v>
      </c>
      <c r="G622" s="2"/>
      <c r="H622" s="1001" t="s">
        <v>37</v>
      </c>
      <c r="I622" s="1002" t="s">
        <v>18</v>
      </c>
      <c r="J622" s="3" t="s">
        <v>19</v>
      </c>
      <c r="K622" s="3"/>
    </row>
    <row r="623" spans="1:11" ht="43.2" x14ac:dyDescent="0.3">
      <c r="A623" s="3" t="s">
        <v>1403</v>
      </c>
      <c r="B623" s="3" t="str">
        <f>"022705040"</f>
        <v>022705040</v>
      </c>
      <c r="C623" s="3" t="s">
        <v>1404</v>
      </c>
      <c r="D623" s="3" t="s">
        <v>1406</v>
      </c>
      <c r="E623" s="3" t="s">
        <v>425</v>
      </c>
      <c r="F623" s="2">
        <v>43567</v>
      </c>
      <c r="G623" s="2">
        <v>44316</v>
      </c>
      <c r="H623" s="1003" t="s">
        <v>37</v>
      </c>
      <c r="I623" s="3" t="s">
        <v>41</v>
      </c>
      <c r="J623" s="3" t="s">
        <v>19</v>
      </c>
      <c r="K623" s="3"/>
    </row>
    <row r="624" spans="1:11" ht="43.2" x14ac:dyDescent="0.3">
      <c r="A624" s="3" t="s">
        <v>1407</v>
      </c>
      <c r="B624" s="3" t="str">
        <f>"033961032"</f>
        <v>033961032</v>
      </c>
      <c r="C624" s="3" t="s">
        <v>1367</v>
      </c>
      <c r="D624" s="3" t="s">
        <v>1408</v>
      </c>
      <c r="E624" s="3" t="s">
        <v>412</v>
      </c>
      <c r="F624" s="2">
        <v>42871</v>
      </c>
      <c r="G624" s="2"/>
      <c r="H624" s="1004" t="s">
        <v>17</v>
      </c>
      <c r="I624" s="1005" t="s">
        <v>18</v>
      </c>
      <c r="J624" s="3" t="s">
        <v>19</v>
      </c>
      <c r="K624" s="3"/>
    </row>
    <row r="625" spans="1:11" ht="43.2" x14ac:dyDescent="0.3">
      <c r="A625" s="3" t="s">
        <v>1407</v>
      </c>
      <c r="B625" s="3" t="str">
        <f>"033961044"</f>
        <v>033961044</v>
      </c>
      <c r="C625" s="3" t="s">
        <v>1367</v>
      </c>
      <c r="D625" s="3" t="s">
        <v>1409</v>
      </c>
      <c r="E625" s="3" t="s">
        <v>412</v>
      </c>
      <c r="F625" s="2">
        <v>42871</v>
      </c>
      <c r="G625" s="2"/>
      <c r="H625" s="1006" t="s">
        <v>17</v>
      </c>
      <c r="I625" s="1007" t="s">
        <v>18</v>
      </c>
      <c r="J625" s="3" t="s">
        <v>19</v>
      </c>
      <c r="K625" s="3"/>
    </row>
    <row r="626" spans="1:11" ht="57.6" x14ac:dyDescent="0.3">
      <c r="A626" s="3" t="s">
        <v>1410</v>
      </c>
      <c r="B626" s="3" t="str">
        <f>"043673019"</f>
        <v>043673019</v>
      </c>
      <c r="C626" s="3" t="s">
        <v>1411</v>
      </c>
      <c r="D626" s="3" t="s">
        <v>1412</v>
      </c>
      <c r="E626" s="3" t="s">
        <v>107</v>
      </c>
      <c r="F626" s="2">
        <v>43612</v>
      </c>
      <c r="G626" s="2"/>
      <c r="H626" s="1008" t="s">
        <v>17</v>
      </c>
      <c r="I626" s="3" t="s">
        <v>41</v>
      </c>
      <c r="J626" s="3" t="s">
        <v>19</v>
      </c>
      <c r="K626" s="3"/>
    </row>
    <row r="627" spans="1:11" ht="43.2" x14ac:dyDescent="0.3">
      <c r="A627" s="3" t="s">
        <v>1413</v>
      </c>
      <c r="B627" s="3" t="str">
        <f>"020417034"</f>
        <v>020417034</v>
      </c>
      <c r="C627" s="3" t="s">
        <v>1414</v>
      </c>
      <c r="D627" s="3" t="s">
        <v>1415</v>
      </c>
      <c r="E627" s="3" t="s">
        <v>1416</v>
      </c>
      <c r="F627" s="2">
        <v>42156</v>
      </c>
      <c r="G627" s="2"/>
      <c r="H627" s="1009" t="s">
        <v>17</v>
      </c>
      <c r="I627" s="1010" t="s">
        <v>18</v>
      </c>
      <c r="J627" s="3" t="s">
        <v>19</v>
      </c>
      <c r="K627" s="3"/>
    </row>
    <row r="628" spans="1:11" ht="43.2" x14ac:dyDescent="0.3">
      <c r="A628" s="3" t="s">
        <v>1417</v>
      </c>
      <c r="B628" s="3" t="str">
        <f>"040394013"</f>
        <v>040394013</v>
      </c>
      <c r="C628" s="3" t="s">
        <v>503</v>
      </c>
      <c r="D628" s="3" t="s">
        <v>1418</v>
      </c>
      <c r="E628" s="3" t="s">
        <v>126</v>
      </c>
      <c r="F628" s="2">
        <v>44025</v>
      </c>
      <c r="G628" s="2"/>
      <c r="H628" s="1011" t="s">
        <v>17</v>
      </c>
      <c r="I628" s="3" t="s">
        <v>41</v>
      </c>
      <c r="J628" s="3" t="s">
        <v>19</v>
      </c>
      <c r="K628" s="3"/>
    </row>
    <row r="629" spans="1:11" ht="43.2" x14ac:dyDescent="0.3">
      <c r="A629" s="3" t="s">
        <v>1417</v>
      </c>
      <c r="B629" s="3" t="str">
        <f>"040394025"</f>
        <v>040394025</v>
      </c>
      <c r="C629" s="3" t="s">
        <v>503</v>
      </c>
      <c r="D629" s="3" t="s">
        <v>1419</v>
      </c>
      <c r="E629" s="3" t="s">
        <v>126</v>
      </c>
      <c r="F629" s="2">
        <v>44025</v>
      </c>
      <c r="G629" s="2"/>
      <c r="H629" s="1012" t="s">
        <v>17</v>
      </c>
      <c r="I629" s="3" t="s">
        <v>41</v>
      </c>
      <c r="J629" s="3" t="s">
        <v>19</v>
      </c>
      <c r="K629" s="3"/>
    </row>
    <row r="630" spans="1:11" ht="57.6" x14ac:dyDescent="0.3">
      <c r="A630" s="3" t="s">
        <v>1420</v>
      </c>
      <c r="B630" s="3" t="str">
        <f>"011355070"</f>
        <v>011355070</v>
      </c>
      <c r="C630" s="3" t="s">
        <v>1421</v>
      </c>
      <c r="D630" s="3" t="s">
        <v>1422</v>
      </c>
      <c r="E630" s="3" t="s">
        <v>1423</v>
      </c>
      <c r="F630" s="2">
        <v>44105</v>
      </c>
      <c r="G630" s="2"/>
      <c r="H630" s="1013" t="s">
        <v>37</v>
      </c>
      <c r="I630" s="1014" t="s">
        <v>18</v>
      </c>
      <c r="J630" s="3" t="s">
        <v>156</v>
      </c>
      <c r="K630" s="3"/>
    </row>
    <row r="631" spans="1:11" ht="43.2" x14ac:dyDescent="0.3">
      <c r="A631" s="3" t="s">
        <v>1424</v>
      </c>
      <c r="B631" s="3" t="str">
        <f>"034168169"</f>
        <v>034168169</v>
      </c>
      <c r="C631" s="3" t="s">
        <v>1425</v>
      </c>
      <c r="D631" s="3" t="s">
        <v>1426</v>
      </c>
      <c r="E631" s="3" t="s">
        <v>412</v>
      </c>
      <c r="F631" s="2">
        <v>44013</v>
      </c>
      <c r="G631" s="2">
        <v>44439</v>
      </c>
      <c r="H631" s="1015" t="s">
        <v>37</v>
      </c>
      <c r="I631" s="3" t="s">
        <v>41</v>
      </c>
      <c r="J631" s="3" t="s">
        <v>19</v>
      </c>
      <c r="K631" s="3"/>
    </row>
    <row r="632" spans="1:11" ht="43.2" x14ac:dyDescent="0.3">
      <c r="A632" s="3" t="s">
        <v>1427</v>
      </c>
      <c r="B632" s="3" t="str">
        <f>"042369025"</f>
        <v>042369025</v>
      </c>
      <c r="C632" s="3" t="s">
        <v>1428</v>
      </c>
      <c r="D632" s="3" t="s">
        <v>1429</v>
      </c>
      <c r="E632" s="3" t="s">
        <v>107</v>
      </c>
      <c r="F632" s="2">
        <v>43341</v>
      </c>
      <c r="G632" s="2"/>
      <c r="H632" s="1016" t="s">
        <v>17</v>
      </c>
      <c r="I632" s="1017" t="s">
        <v>18</v>
      </c>
      <c r="J632" s="3" t="s">
        <v>19</v>
      </c>
      <c r="K632" s="3"/>
    </row>
    <row r="633" spans="1:11" ht="57.6" x14ac:dyDescent="0.3">
      <c r="A633" s="3" t="s">
        <v>1430</v>
      </c>
      <c r="B633" s="3" t="str">
        <f>"045994023"</f>
        <v>045994023</v>
      </c>
      <c r="C633" s="3"/>
      <c r="D633" s="3" t="s">
        <v>1431</v>
      </c>
      <c r="E633" s="3" t="s">
        <v>56</v>
      </c>
      <c r="F633" s="2">
        <v>44227</v>
      </c>
      <c r="G633" s="2"/>
      <c r="H633" s="1018" t="s">
        <v>37</v>
      </c>
      <c r="I633" s="1019" t="s">
        <v>18</v>
      </c>
      <c r="J633" s="3" t="s">
        <v>19</v>
      </c>
      <c r="K633" s="3"/>
    </row>
    <row r="634" spans="1:11" ht="57.6" x14ac:dyDescent="0.3">
      <c r="A634" s="3" t="s">
        <v>1432</v>
      </c>
      <c r="B634" s="3" t="str">
        <f>"047531037"</f>
        <v>047531037</v>
      </c>
      <c r="C634" s="3" t="s">
        <v>1433</v>
      </c>
      <c r="D634" s="3" t="s">
        <v>1431</v>
      </c>
      <c r="E634" s="3" t="s">
        <v>122</v>
      </c>
      <c r="F634" s="2">
        <v>43935</v>
      </c>
      <c r="G634" s="2">
        <v>44196</v>
      </c>
      <c r="H634" s="1020" t="s">
        <v>17</v>
      </c>
      <c r="I634" s="3" t="s">
        <v>178</v>
      </c>
      <c r="J634" s="3" t="s">
        <v>240</v>
      </c>
      <c r="K634" s="3"/>
    </row>
    <row r="635" spans="1:11" ht="43.2" x14ac:dyDescent="0.3">
      <c r="A635" s="3" t="s">
        <v>1434</v>
      </c>
      <c r="B635" s="3" t="str">
        <f>"023777030"</f>
        <v>023777030</v>
      </c>
      <c r="C635" s="3" t="s">
        <v>1435</v>
      </c>
      <c r="D635" s="3" t="s">
        <v>1436</v>
      </c>
      <c r="E635" s="3" t="s">
        <v>151</v>
      </c>
      <c r="F635" s="2">
        <v>44097</v>
      </c>
      <c r="G635" s="2">
        <v>44165</v>
      </c>
      <c r="H635" s="1021" t="s">
        <v>17</v>
      </c>
      <c r="I635" s="3" t="s">
        <v>41</v>
      </c>
      <c r="J635" s="3" t="s">
        <v>19</v>
      </c>
      <c r="K635" s="3"/>
    </row>
    <row r="636" spans="1:11" ht="86.4" x14ac:dyDescent="0.3">
      <c r="A636" s="3" t="s">
        <v>1437</v>
      </c>
      <c r="B636" s="3" t="str">
        <f>"030153023"</f>
        <v>030153023</v>
      </c>
      <c r="C636" s="3" t="s">
        <v>1438</v>
      </c>
      <c r="D636" s="3" t="s">
        <v>1439</v>
      </c>
      <c r="E636" s="3" t="s">
        <v>750</v>
      </c>
      <c r="F636" s="2">
        <v>43221</v>
      </c>
      <c r="G636" s="2"/>
      <c r="H636" s="1022" t="s">
        <v>17</v>
      </c>
      <c r="I636" s="1023" t="s">
        <v>18</v>
      </c>
      <c r="J636" s="3" t="s">
        <v>39</v>
      </c>
      <c r="K636" s="3"/>
    </row>
    <row r="637" spans="1:11" ht="43.2" x14ac:dyDescent="0.3">
      <c r="A637" s="3" t="s">
        <v>1440</v>
      </c>
      <c r="B637" s="3" t="str">
        <f>"032786028"</f>
        <v>032786028</v>
      </c>
      <c r="C637" s="3" t="s">
        <v>1441</v>
      </c>
      <c r="D637" s="3" t="s">
        <v>1442</v>
      </c>
      <c r="E637" s="3" t="s">
        <v>107</v>
      </c>
      <c r="F637" s="2">
        <v>44070</v>
      </c>
      <c r="G637" s="2"/>
      <c r="H637" s="1024" t="s">
        <v>17</v>
      </c>
      <c r="I637" s="3" t="s">
        <v>41</v>
      </c>
      <c r="J637" s="3" t="s">
        <v>19</v>
      </c>
      <c r="K637" s="3"/>
    </row>
    <row r="638" spans="1:11" ht="43.2" x14ac:dyDescent="0.3">
      <c r="A638" s="3" t="s">
        <v>1443</v>
      </c>
      <c r="B638" s="3" t="str">
        <f>"029457013"</f>
        <v>029457013</v>
      </c>
      <c r="C638" s="3" t="s">
        <v>1441</v>
      </c>
      <c r="D638" s="3" t="s">
        <v>1444</v>
      </c>
      <c r="E638" s="3" t="s">
        <v>103</v>
      </c>
      <c r="F638" s="2">
        <v>43191</v>
      </c>
      <c r="G638" s="2"/>
      <c r="H638" s="1025" t="s">
        <v>17</v>
      </c>
      <c r="I638" s="1026" t="s">
        <v>18</v>
      </c>
      <c r="J638" s="3" t="s">
        <v>19</v>
      </c>
      <c r="K638" s="3"/>
    </row>
    <row r="639" spans="1:11" ht="43.2" x14ac:dyDescent="0.3">
      <c r="A639" s="3" t="s">
        <v>1445</v>
      </c>
      <c r="B639" s="3" t="str">
        <f>"028618015"</f>
        <v>028618015</v>
      </c>
      <c r="C639" s="3" t="s">
        <v>1446</v>
      </c>
      <c r="D639" s="3" t="s">
        <v>1447</v>
      </c>
      <c r="E639" s="3" t="s">
        <v>425</v>
      </c>
      <c r="F639" s="2">
        <v>44013</v>
      </c>
      <c r="G639" s="2"/>
      <c r="H639" s="1027" t="s">
        <v>17</v>
      </c>
      <c r="I639" s="1028" t="s">
        <v>18</v>
      </c>
      <c r="J639" s="3" t="s">
        <v>19</v>
      </c>
      <c r="K639" s="3"/>
    </row>
    <row r="640" spans="1:11" ht="43.2" x14ac:dyDescent="0.3">
      <c r="A640" s="3" t="s">
        <v>1445</v>
      </c>
      <c r="B640" s="3" t="str">
        <f>"028618041"</f>
        <v>028618041</v>
      </c>
      <c r="C640" s="3" t="s">
        <v>1446</v>
      </c>
      <c r="D640" s="3" t="s">
        <v>1448</v>
      </c>
      <c r="E640" s="3" t="s">
        <v>425</v>
      </c>
      <c r="F640" s="2">
        <v>43876</v>
      </c>
      <c r="G640" s="2"/>
      <c r="H640" s="1029" t="s">
        <v>17</v>
      </c>
      <c r="I640" s="1030" t="s">
        <v>18</v>
      </c>
      <c r="J640" s="3" t="s">
        <v>19</v>
      </c>
      <c r="K640" s="3"/>
    </row>
    <row r="641" spans="1:11" ht="43.2" x14ac:dyDescent="0.3">
      <c r="A641" s="3" t="s">
        <v>1449</v>
      </c>
      <c r="B641" s="3" t="str">
        <f>"041735010"</f>
        <v>041735010</v>
      </c>
      <c r="C641" s="3" t="s">
        <v>1450</v>
      </c>
      <c r="D641" s="3" t="s">
        <v>1451</v>
      </c>
      <c r="E641" s="3" t="s">
        <v>425</v>
      </c>
      <c r="F641" s="2">
        <v>44166</v>
      </c>
      <c r="G641" s="2"/>
      <c r="H641" s="1031" t="s">
        <v>17</v>
      </c>
      <c r="I641" s="1032" t="s">
        <v>18</v>
      </c>
      <c r="J641" s="3" t="s">
        <v>19</v>
      </c>
      <c r="K641" s="3"/>
    </row>
    <row r="642" spans="1:11" ht="43.2" x14ac:dyDescent="0.3">
      <c r="A642" s="3" t="s">
        <v>1449</v>
      </c>
      <c r="B642" s="3" t="str">
        <f>"041735022"</f>
        <v>041735022</v>
      </c>
      <c r="C642" s="3" t="s">
        <v>1450</v>
      </c>
      <c r="D642" s="3" t="s">
        <v>1452</v>
      </c>
      <c r="E642" s="3" t="s">
        <v>425</v>
      </c>
      <c r="F642" s="2">
        <v>44166</v>
      </c>
      <c r="G642" s="2"/>
      <c r="H642" s="1033" t="s">
        <v>17</v>
      </c>
      <c r="I642" s="1034" t="s">
        <v>18</v>
      </c>
      <c r="J642" s="3" t="s">
        <v>19</v>
      </c>
      <c r="K642" s="3"/>
    </row>
    <row r="643" spans="1:11" ht="43.2" x14ac:dyDescent="0.3">
      <c r="A643" s="3" t="s">
        <v>1453</v>
      </c>
      <c r="B643" s="3" t="str">
        <f>"020917011"</f>
        <v>020917011</v>
      </c>
      <c r="C643" s="3" t="s">
        <v>1454</v>
      </c>
      <c r="D643" s="3" t="s">
        <v>1455</v>
      </c>
      <c r="E643" s="3" t="s">
        <v>1456</v>
      </c>
      <c r="F643" s="2">
        <v>42795</v>
      </c>
      <c r="G643" s="2"/>
      <c r="H643" s="1035" t="s">
        <v>37</v>
      </c>
      <c r="I643" s="3" t="s">
        <v>41</v>
      </c>
      <c r="J643" s="3" t="s">
        <v>19</v>
      </c>
      <c r="K643" s="3"/>
    </row>
    <row r="644" spans="1:11" ht="43.2" x14ac:dyDescent="0.3">
      <c r="A644" s="3" t="s">
        <v>1453</v>
      </c>
      <c r="B644" s="3" t="str">
        <f>"020917023"</f>
        <v>020917023</v>
      </c>
      <c r="C644" s="3" t="s">
        <v>1454</v>
      </c>
      <c r="D644" s="3" t="s">
        <v>1457</v>
      </c>
      <c r="E644" s="3" t="s">
        <v>1456</v>
      </c>
      <c r="F644" s="2">
        <v>43296</v>
      </c>
      <c r="G644" s="2"/>
      <c r="H644" s="1036" t="s">
        <v>37</v>
      </c>
      <c r="I644" s="3" t="s">
        <v>41</v>
      </c>
      <c r="J644" s="3" t="s">
        <v>19</v>
      </c>
      <c r="K644" s="3"/>
    </row>
    <row r="645" spans="1:11" ht="43.2" x14ac:dyDescent="0.3">
      <c r="A645" s="3" t="s">
        <v>1458</v>
      </c>
      <c r="B645" s="3" t="str">
        <f>"033162037"</f>
        <v>033162037</v>
      </c>
      <c r="C645" s="3" t="s">
        <v>1459</v>
      </c>
      <c r="D645" s="3" t="s">
        <v>1460</v>
      </c>
      <c r="E645" s="3" t="s">
        <v>1461</v>
      </c>
      <c r="F645" s="2">
        <v>43586</v>
      </c>
      <c r="G645" s="2"/>
      <c r="H645" s="1037" t="s">
        <v>17</v>
      </c>
      <c r="I645" s="1038" t="s">
        <v>18</v>
      </c>
      <c r="J645" s="3" t="s">
        <v>19</v>
      </c>
      <c r="K645" s="3"/>
    </row>
    <row r="646" spans="1:11" ht="72" x14ac:dyDescent="0.3">
      <c r="A646" s="3" t="s">
        <v>1462</v>
      </c>
      <c r="B646" s="3" t="str">
        <f>"027940030"</f>
        <v>027940030</v>
      </c>
      <c r="C646" s="3" t="s">
        <v>1463</v>
      </c>
      <c r="D646" s="3" t="s">
        <v>1464</v>
      </c>
      <c r="E646" s="3" t="s">
        <v>850</v>
      </c>
      <c r="F646" s="2">
        <v>43637</v>
      </c>
      <c r="G646" s="2"/>
      <c r="H646" s="1039" t="s">
        <v>17</v>
      </c>
      <c r="I646" s="3" t="s">
        <v>41</v>
      </c>
      <c r="J646" s="3" t="s">
        <v>156</v>
      </c>
      <c r="K646" s="3"/>
    </row>
    <row r="647" spans="1:11" ht="57.6" x14ac:dyDescent="0.3">
      <c r="A647" s="3" t="s">
        <v>1462</v>
      </c>
      <c r="B647" s="3" t="str">
        <f>"027940042"</f>
        <v>027940042</v>
      </c>
      <c r="C647" s="3" t="s">
        <v>1463</v>
      </c>
      <c r="D647" s="3" t="s">
        <v>1465</v>
      </c>
      <c r="E647" s="3" t="s">
        <v>850</v>
      </c>
      <c r="F647" s="2">
        <v>43713</v>
      </c>
      <c r="G647" s="2"/>
      <c r="H647" s="1040" t="s">
        <v>17</v>
      </c>
      <c r="I647" s="3" t="s">
        <v>41</v>
      </c>
      <c r="J647" s="3" t="s">
        <v>156</v>
      </c>
      <c r="K647" s="3"/>
    </row>
    <row r="648" spans="1:11" ht="43.2" x14ac:dyDescent="0.3">
      <c r="A648" s="3" t="s">
        <v>1466</v>
      </c>
      <c r="B648" s="3" t="str">
        <f>"025740097"</f>
        <v>025740097</v>
      </c>
      <c r="C648" s="3" t="s">
        <v>1467</v>
      </c>
      <c r="D648" s="3" t="s">
        <v>1468</v>
      </c>
      <c r="E648" s="3" t="s">
        <v>307</v>
      </c>
      <c r="F648" s="2">
        <v>44084</v>
      </c>
      <c r="G648" s="2">
        <v>44150</v>
      </c>
      <c r="H648" s="1041" t="s">
        <v>37</v>
      </c>
      <c r="I648" s="3" t="s">
        <v>41</v>
      </c>
      <c r="J648" s="3" t="s">
        <v>19</v>
      </c>
      <c r="K648" s="3"/>
    </row>
    <row r="649" spans="1:11" ht="43.2" x14ac:dyDescent="0.3">
      <c r="A649" s="3" t="s">
        <v>1469</v>
      </c>
      <c r="B649" s="3" t="str">
        <f>"027267032"</f>
        <v>027267032</v>
      </c>
      <c r="C649" s="3" t="s">
        <v>1470</v>
      </c>
      <c r="D649" s="3" t="s">
        <v>1471</v>
      </c>
      <c r="E649" s="3" t="s">
        <v>412</v>
      </c>
      <c r="F649" s="2">
        <v>44165</v>
      </c>
      <c r="G649" s="2"/>
      <c r="H649" s="1042" t="s">
        <v>17</v>
      </c>
      <c r="I649" s="1043" t="s">
        <v>18</v>
      </c>
      <c r="J649" s="3" t="s">
        <v>19</v>
      </c>
      <c r="K649" s="3"/>
    </row>
    <row r="650" spans="1:11" ht="43.2" x14ac:dyDescent="0.3">
      <c r="A650" s="3" t="s">
        <v>1469</v>
      </c>
      <c r="B650" s="3" t="str">
        <f>"027267071"</f>
        <v>027267071</v>
      </c>
      <c r="C650" s="3" t="s">
        <v>1470</v>
      </c>
      <c r="D650" s="3" t="s">
        <v>1472</v>
      </c>
      <c r="E650" s="3" t="s">
        <v>412</v>
      </c>
      <c r="F650" s="2">
        <v>44985</v>
      </c>
      <c r="G650" s="2"/>
      <c r="H650" s="1044" t="s">
        <v>37</v>
      </c>
      <c r="I650" s="1045" t="s">
        <v>18</v>
      </c>
      <c r="J650" s="3" t="s">
        <v>19</v>
      </c>
      <c r="K650" s="3"/>
    </row>
    <row r="651" spans="1:11" ht="43.2" x14ac:dyDescent="0.3">
      <c r="A651" s="3" t="s">
        <v>1469</v>
      </c>
      <c r="B651" s="3" t="str">
        <f>"027267083"</f>
        <v>027267083</v>
      </c>
      <c r="C651" s="3" t="s">
        <v>1470</v>
      </c>
      <c r="D651" s="3" t="s">
        <v>1473</v>
      </c>
      <c r="E651" s="3" t="s">
        <v>412</v>
      </c>
      <c r="F651" s="2">
        <v>43322</v>
      </c>
      <c r="G651" s="2"/>
      <c r="H651" s="1046" t="s">
        <v>17</v>
      </c>
      <c r="I651" s="1047" t="s">
        <v>18</v>
      </c>
      <c r="J651" s="3" t="s">
        <v>19</v>
      </c>
      <c r="K651" s="3"/>
    </row>
    <row r="652" spans="1:11" ht="43.2" x14ac:dyDescent="0.3">
      <c r="A652" s="3" t="s">
        <v>1474</v>
      </c>
      <c r="B652" s="3" t="str">
        <f>"021633058"</f>
        <v>021633058</v>
      </c>
      <c r="C652" s="3" t="s">
        <v>1475</v>
      </c>
      <c r="D652" s="3" t="s">
        <v>1476</v>
      </c>
      <c r="E652" s="3" t="s">
        <v>1330</v>
      </c>
      <c r="F652" s="2">
        <v>43200</v>
      </c>
      <c r="G652" s="2"/>
      <c r="H652" s="1048" t="s">
        <v>17</v>
      </c>
      <c r="I652" s="1049" t="s">
        <v>18</v>
      </c>
      <c r="J652" s="3" t="s">
        <v>19</v>
      </c>
      <c r="K652" s="3"/>
    </row>
    <row r="653" spans="1:11" ht="43.2" x14ac:dyDescent="0.3">
      <c r="A653" s="3" t="s">
        <v>1477</v>
      </c>
      <c r="B653" s="3" t="str">
        <f>"024121067"</f>
        <v>024121067</v>
      </c>
      <c r="C653" s="3" t="s">
        <v>1199</v>
      </c>
      <c r="D653" s="3" t="s">
        <v>1478</v>
      </c>
      <c r="E653" s="3" t="s">
        <v>572</v>
      </c>
      <c r="F653" s="2">
        <v>44195</v>
      </c>
      <c r="G653" s="2">
        <v>44408</v>
      </c>
      <c r="H653" s="1050" t="s">
        <v>17</v>
      </c>
      <c r="I653" s="3" t="s">
        <v>41</v>
      </c>
      <c r="J653" s="3" t="s">
        <v>19</v>
      </c>
      <c r="K653" s="3"/>
    </row>
    <row r="654" spans="1:11" ht="43.2" x14ac:dyDescent="0.3">
      <c r="A654" s="3" t="s">
        <v>1477</v>
      </c>
      <c r="B654" s="3" t="str">
        <f>"024121093"</f>
        <v>024121093</v>
      </c>
      <c r="C654" s="3" t="s">
        <v>1199</v>
      </c>
      <c r="D654" s="3" t="s">
        <v>1479</v>
      </c>
      <c r="E654" s="3" t="s">
        <v>572</v>
      </c>
      <c r="F654" s="2">
        <v>44134</v>
      </c>
      <c r="G654" s="2">
        <v>44346</v>
      </c>
      <c r="H654" s="1051" t="s">
        <v>17</v>
      </c>
      <c r="I654" s="3" t="s">
        <v>41</v>
      </c>
      <c r="J654" s="3" t="s">
        <v>19</v>
      </c>
      <c r="K654" s="3"/>
    </row>
    <row r="655" spans="1:11" ht="43.2" x14ac:dyDescent="0.3">
      <c r="A655" s="3" t="s">
        <v>1480</v>
      </c>
      <c r="B655" s="3" t="str">
        <f>"028258097"</f>
        <v>028258097</v>
      </c>
      <c r="C655" s="3" t="s">
        <v>301</v>
      </c>
      <c r="D655" s="3" t="s">
        <v>1481</v>
      </c>
      <c r="E655" s="3" t="s">
        <v>263</v>
      </c>
      <c r="F655" s="2">
        <v>43591</v>
      </c>
      <c r="G655" s="2"/>
      <c r="H655" s="1052" t="s">
        <v>17</v>
      </c>
      <c r="I655" s="1053" t="s">
        <v>18</v>
      </c>
      <c r="J655" s="3" t="s">
        <v>19</v>
      </c>
      <c r="K655" s="3"/>
    </row>
    <row r="656" spans="1:11" ht="43.2" x14ac:dyDescent="0.3">
      <c r="A656" s="3" t="s">
        <v>1482</v>
      </c>
      <c r="B656" s="3" t="str">
        <f>"033175011"</f>
        <v>033175011</v>
      </c>
      <c r="C656" s="3" t="s">
        <v>301</v>
      </c>
      <c r="D656" s="3" t="s">
        <v>1483</v>
      </c>
      <c r="E656" s="3" t="s">
        <v>103</v>
      </c>
      <c r="F656" s="2">
        <v>43466</v>
      </c>
      <c r="G656" s="2"/>
      <c r="H656" s="1054" t="s">
        <v>17</v>
      </c>
      <c r="I656" s="1055" t="s">
        <v>18</v>
      </c>
      <c r="J656" s="3" t="s">
        <v>19</v>
      </c>
      <c r="K656" s="3"/>
    </row>
    <row r="657" spans="1:11" ht="43.2" x14ac:dyDescent="0.3">
      <c r="A657" s="3" t="s">
        <v>1484</v>
      </c>
      <c r="B657" s="3" t="str">
        <f>"033652013"</f>
        <v>033652013</v>
      </c>
      <c r="C657" s="3" t="s">
        <v>301</v>
      </c>
      <c r="D657" s="3" t="s">
        <v>1485</v>
      </c>
      <c r="E657" s="3" t="s">
        <v>518</v>
      </c>
      <c r="F657" s="2">
        <v>44069</v>
      </c>
      <c r="G657" s="2"/>
      <c r="H657" s="1056" t="s">
        <v>17</v>
      </c>
      <c r="I657" s="1057" t="s">
        <v>18</v>
      </c>
      <c r="J657" s="3" t="s">
        <v>19</v>
      </c>
      <c r="K657" s="3"/>
    </row>
    <row r="658" spans="1:11" ht="43.2" x14ac:dyDescent="0.3">
      <c r="A658" s="3" t="s">
        <v>1486</v>
      </c>
      <c r="B658" s="3" t="str">
        <f>"037243060"</f>
        <v>037243060</v>
      </c>
      <c r="C658" s="3" t="s">
        <v>1487</v>
      </c>
      <c r="D658" s="3" t="s">
        <v>1488</v>
      </c>
      <c r="E658" s="3" t="s">
        <v>1489</v>
      </c>
      <c r="F658" s="2">
        <v>44134</v>
      </c>
      <c r="G658" s="2">
        <v>44180</v>
      </c>
      <c r="H658" s="1058" t="s">
        <v>17</v>
      </c>
      <c r="I658" s="3" t="s">
        <v>41</v>
      </c>
      <c r="J658" s="3" t="s">
        <v>19</v>
      </c>
      <c r="K658" s="3"/>
    </row>
    <row r="659" spans="1:11" ht="43.2" x14ac:dyDescent="0.3">
      <c r="A659" s="3" t="s">
        <v>1490</v>
      </c>
      <c r="B659" s="3" t="str">
        <f>"026114052"</f>
        <v>026114052</v>
      </c>
      <c r="C659" s="3" t="s">
        <v>1491</v>
      </c>
      <c r="D659" s="3" t="s">
        <v>1492</v>
      </c>
      <c r="E659" s="3" t="s">
        <v>255</v>
      </c>
      <c r="F659" s="2">
        <v>43945</v>
      </c>
      <c r="G659" s="2"/>
      <c r="H659" s="1059" t="s">
        <v>17</v>
      </c>
      <c r="I659" s="3" t="s">
        <v>178</v>
      </c>
      <c r="J659" s="3" t="s">
        <v>240</v>
      </c>
      <c r="K659" s="3"/>
    </row>
    <row r="660" spans="1:11" ht="43.2" x14ac:dyDescent="0.3">
      <c r="A660" s="3" t="s">
        <v>1490</v>
      </c>
      <c r="B660" s="3" t="str">
        <f>"026114076"</f>
        <v>026114076</v>
      </c>
      <c r="C660" s="3" t="s">
        <v>1491</v>
      </c>
      <c r="D660" s="3" t="s">
        <v>1493</v>
      </c>
      <c r="E660" s="3" t="s">
        <v>255</v>
      </c>
      <c r="F660" s="2">
        <v>43955</v>
      </c>
      <c r="G660" s="2">
        <v>44193</v>
      </c>
      <c r="H660" s="1060" t="s">
        <v>17</v>
      </c>
      <c r="I660" s="3" t="s">
        <v>178</v>
      </c>
      <c r="J660" s="3" t="s">
        <v>19</v>
      </c>
      <c r="K660" s="3"/>
    </row>
    <row r="661" spans="1:11" ht="43.2" x14ac:dyDescent="0.3">
      <c r="A661" s="3" t="s">
        <v>1490</v>
      </c>
      <c r="B661" s="3" t="str">
        <f>"026114088"</f>
        <v>026114088</v>
      </c>
      <c r="C661" s="3" t="s">
        <v>1491</v>
      </c>
      <c r="D661" s="3" t="s">
        <v>1494</v>
      </c>
      <c r="E661" s="3" t="s">
        <v>255</v>
      </c>
      <c r="F661" s="2">
        <v>44081</v>
      </c>
      <c r="G661" s="2">
        <v>44142</v>
      </c>
      <c r="H661" s="1061" t="s">
        <v>17</v>
      </c>
      <c r="I661" s="3" t="s">
        <v>178</v>
      </c>
      <c r="J661" s="3" t="s">
        <v>19</v>
      </c>
      <c r="K661" s="3"/>
    </row>
    <row r="662" spans="1:11" ht="43.2" x14ac:dyDescent="0.3">
      <c r="A662" s="3" t="s">
        <v>1495</v>
      </c>
      <c r="B662" s="3" t="str">
        <f>"032778021"</f>
        <v>032778021</v>
      </c>
      <c r="C662" s="3" t="s">
        <v>763</v>
      </c>
      <c r="D662" s="3" t="s">
        <v>1496</v>
      </c>
      <c r="E662" s="3" t="s">
        <v>1497</v>
      </c>
      <c r="F662" s="2">
        <v>43922</v>
      </c>
      <c r="G662" s="2"/>
      <c r="H662" s="1062" t="s">
        <v>17</v>
      </c>
      <c r="I662" s="1063" t="s">
        <v>18</v>
      </c>
      <c r="J662" s="3" t="s">
        <v>19</v>
      </c>
      <c r="K662" s="3"/>
    </row>
    <row r="663" spans="1:11" ht="57.6" x14ac:dyDescent="0.3">
      <c r="A663" s="3" t="s">
        <v>1498</v>
      </c>
      <c r="B663" s="3" t="str">
        <f>"013013026"</f>
        <v>013013026</v>
      </c>
      <c r="C663" s="3" t="s">
        <v>1499</v>
      </c>
      <c r="D663" s="3" t="s">
        <v>1500</v>
      </c>
      <c r="E663" s="3" t="s">
        <v>1501</v>
      </c>
      <c r="F663" s="2">
        <v>41698</v>
      </c>
      <c r="G663" s="2">
        <v>44256</v>
      </c>
      <c r="H663" s="1064" t="s">
        <v>37</v>
      </c>
      <c r="I663" s="1065" t="s">
        <v>32</v>
      </c>
      <c r="J663" s="3" t="s">
        <v>156</v>
      </c>
      <c r="K663" s="3"/>
    </row>
    <row r="664" spans="1:11" ht="57.6" x14ac:dyDescent="0.3">
      <c r="A664" s="3" t="s">
        <v>1502</v>
      </c>
      <c r="B664" s="3" t="str">
        <f>"036323032"</f>
        <v>036323032</v>
      </c>
      <c r="C664" s="3" t="s">
        <v>1503</v>
      </c>
      <c r="D664" s="3" t="s">
        <v>1504</v>
      </c>
      <c r="E664" s="3" t="s">
        <v>1353</v>
      </c>
      <c r="F664" s="2">
        <v>43920</v>
      </c>
      <c r="G664" s="2">
        <v>44012</v>
      </c>
      <c r="H664" s="1066" t="s">
        <v>17</v>
      </c>
      <c r="I664" s="3" t="s">
        <v>178</v>
      </c>
      <c r="J664" s="3" t="s">
        <v>19</v>
      </c>
      <c r="K664" s="3"/>
    </row>
    <row r="665" spans="1:11" ht="57.6" x14ac:dyDescent="0.3">
      <c r="A665" s="3" t="s">
        <v>1505</v>
      </c>
      <c r="B665" s="3" t="str">
        <f>"028721052"</f>
        <v>028721052</v>
      </c>
      <c r="C665" s="3" t="s">
        <v>1506</v>
      </c>
      <c r="D665" s="3" t="s">
        <v>1507</v>
      </c>
      <c r="E665" s="3" t="s">
        <v>1508</v>
      </c>
      <c r="F665" s="2">
        <v>43024</v>
      </c>
      <c r="G665" s="2"/>
      <c r="H665" s="1067" t="s">
        <v>17</v>
      </c>
      <c r="I665" s="1068" t="s">
        <v>18</v>
      </c>
      <c r="J665" s="3" t="s">
        <v>19</v>
      </c>
      <c r="K665" s="3"/>
    </row>
    <row r="666" spans="1:11" ht="57.6" x14ac:dyDescent="0.3">
      <c r="A666" s="3" t="s">
        <v>1505</v>
      </c>
      <c r="B666" s="3" t="str">
        <f>"028721064"</f>
        <v>028721064</v>
      </c>
      <c r="C666" s="3" t="s">
        <v>1506</v>
      </c>
      <c r="D666" s="3" t="s">
        <v>1509</v>
      </c>
      <c r="E666" s="3" t="s">
        <v>1508</v>
      </c>
      <c r="F666" s="2">
        <v>43024</v>
      </c>
      <c r="G666" s="2"/>
      <c r="H666" s="1069" t="s">
        <v>17</v>
      </c>
      <c r="I666" s="1070" t="s">
        <v>18</v>
      </c>
      <c r="J666" s="3" t="s">
        <v>19</v>
      </c>
      <c r="K666" s="3"/>
    </row>
    <row r="667" spans="1:11" ht="43.2" x14ac:dyDescent="0.3">
      <c r="A667" s="3" t="s">
        <v>1510</v>
      </c>
      <c r="B667" s="3" t="str">
        <f>"022222044"</f>
        <v>022222044</v>
      </c>
      <c r="C667" s="3" t="s">
        <v>1511</v>
      </c>
      <c r="D667" s="3" t="s">
        <v>1512</v>
      </c>
      <c r="E667" s="3" t="s">
        <v>456</v>
      </c>
      <c r="F667" s="2">
        <v>43080</v>
      </c>
      <c r="G667" s="2"/>
      <c r="H667" s="1071" t="s">
        <v>37</v>
      </c>
      <c r="I667" s="1072" t="s">
        <v>18</v>
      </c>
      <c r="J667" s="3" t="s">
        <v>19</v>
      </c>
      <c r="K667" s="3"/>
    </row>
    <row r="668" spans="1:11" ht="57.6" x14ac:dyDescent="0.3">
      <c r="A668" s="3" t="s">
        <v>1513</v>
      </c>
      <c r="B668" s="3" t="str">
        <f>"040113019"</f>
        <v>040113019</v>
      </c>
      <c r="C668" s="3" t="s">
        <v>1514</v>
      </c>
      <c r="D668" s="3" t="s">
        <v>1515</v>
      </c>
      <c r="E668" s="3" t="s">
        <v>83</v>
      </c>
      <c r="F668" s="2">
        <v>43483</v>
      </c>
      <c r="G668" s="2"/>
      <c r="H668" s="1073" t="s">
        <v>17</v>
      </c>
      <c r="I668" s="3" t="s">
        <v>41</v>
      </c>
      <c r="J668" s="3" t="s">
        <v>19</v>
      </c>
      <c r="K668" s="3"/>
    </row>
    <row r="669" spans="1:11" ht="57.6" x14ac:dyDescent="0.3">
      <c r="A669" s="3" t="s">
        <v>1513</v>
      </c>
      <c r="B669" s="3" t="str">
        <f>"040113021"</f>
        <v>040113021</v>
      </c>
      <c r="C669" s="3" t="s">
        <v>1514</v>
      </c>
      <c r="D669" s="3" t="s">
        <v>1516</v>
      </c>
      <c r="E669" s="3" t="s">
        <v>83</v>
      </c>
      <c r="F669" s="2">
        <v>43734</v>
      </c>
      <c r="G669" s="2"/>
      <c r="H669" s="1074" t="s">
        <v>17</v>
      </c>
      <c r="I669" s="3" t="s">
        <v>41</v>
      </c>
      <c r="J669" s="3" t="s">
        <v>19</v>
      </c>
      <c r="K669" s="3"/>
    </row>
    <row r="670" spans="1:11" ht="57.6" x14ac:dyDescent="0.3">
      <c r="A670" s="3" t="s">
        <v>1513</v>
      </c>
      <c r="B670" s="3" t="str">
        <f>"040113033"</f>
        <v>040113033</v>
      </c>
      <c r="C670" s="3" t="s">
        <v>1514</v>
      </c>
      <c r="D670" s="3" t="s">
        <v>1517</v>
      </c>
      <c r="E670" s="3" t="s">
        <v>83</v>
      </c>
      <c r="F670" s="2">
        <v>43964</v>
      </c>
      <c r="G670" s="2"/>
      <c r="H670" s="1075" t="s">
        <v>17</v>
      </c>
      <c r="I670" s="3" t="s">
        <v>41</v>
      </c>
      <c r="J670" s="3" t="s">
        <v>19</v>
      </c>
      <c r="K670" s="3"/>
    </row>
    <row r="671" spans="1:11" ht="43.2" x14ac:dyDescent="0.3">
      <c r="A671" s="3" t="s">
        <v>1518</v>
      </c>
      <c r="B671" s="3" t="str">
        <f>"039627017"</f>
        <v>039627017</v>
      </c>
      <c r="C671" s="3" t="s">
        <v>1514</v>
      </c>
      <c r="D671" s="3" t="s">
        <v>1519</v>
      </c>
      <c r="E671" s="3" t="s">
        <v>412</v>
      </c>
      <c r="F671" s="2">
        <v>43587</v>
      </c>
      <c r="G671" s="2"/>
      <c r="H671" s="1076" t="s">
        <v>37</v>
      </c>
      <c r="I671" s="1077" t="s">
        <v>18</v>
      </c>
      <c r="J671" s="3" t="s">
        <v>19</v>
      </c>
      <c r="K671" s="3"/>
    </row>
    <row r="672" spans="1:11" ht="43.2" x14ac:dyDescent="0.3">
      <c r="A672" s="3" t="s">
        <v>1518</v>
      </c>
      <c r="B672" s="3" t="str">
        <f>"039627029"</f>
        <v>039627029</v>
      </c>
      <c r="C672" s="3" t="s">
        <v>1514</v>
      </c>
      <c r="D672" s="3" t="s">
        <v>1520</v>
      </c>
      <c r="E672" s="3" t="s">
        <v>412</v>
      </c>
      <c r="F672" s="2">
        <v>43585</v>
      </c>
      <c r="G672" s="2"/>
      <c r="H672" s="1078" t="s">
        <v>37</v>
      </c>
      <c r="I672" s="3" t="s">
        <v>41</v>
      </c>
      <c r="J672" s="3" t="s">
        <v>19</v>
      </c>
      <c r="K672" s="3"/>
    </row>
    <row r="673" spans="1:11" ht="43.2" x14ac:dyDescent="0.3">
      <c r="A673" s="3" t="s">
        <v>1518</v>
      </c>
      <c r="B673" s="3" t="str">
        <f>"039627031"</f>
        <v>039627031</v>
      </c>
      <c r="C673" s="3" t="s">
        <v>1514</v>
      </c>
      <c r="D673" s="3" t="s">
        <v>1521</v>
      </c>
      <c r="E673" s="3" t="s">
        <v>412</v>
      </c>
      <c r="F673" s="2">
        <v>43585</v>
      </c>
      <c r="G673" s="2"/>
      <c r="H673" s="1079" t="s">
        <v>17</v>
      </c>
      <c r="I673" s="3" t="s">
        <v>41</v>
      </c>
      <c r="J673" s="3" t="s">
        <v>19</v>
      </c>
      <c r="K673" s="3"/>
    </row>
    <row r="674" spans="1:11" ht="57.6" x14ac:dyDescent="0.3">
      <c r="A674" s="3" t="s">
        <v>1522</v>
      </c>
      <c r="B674" s="3" t="str">
        <f>"040577037"</f>
        <v>040577037</v>
      </c>
      <c r="C674" s="3" t="s">
        <v>1514</v>
      </c>
      <c r="D674" s="3" t="s">
        <v>1523</v>
      </c>
      <c r="E674" s="3" t="s">
        <v>122</v>
      </c>
      <c r="F674" s="2">
        <v>42522</v>
      </c>
      <c r="G674" s="2"/>
      <c r="H674" s="1080" t="s">
        <v>17</v>
      </c>
      <c r="I674" s="1081" t="s">
        <v>18</v>
      </c>
      <c r="J674" s="3" t="s">
        <v>19</v>
      </c>
      <c r="K674" s="3"/>
    </row>
    <row r="675" spans="1:11" ht="100.8" x14ac:dyDescent="0.3">
      <c r="A675" s="3" t="s">
        <v>1524</v>
      </c>
      <c r="B675" s="3" t="str">
        <f>"039718022"</f>
        <v>039718022</v>
      </c>
      <c r="C675" s="3" t="s">
        <v>1514</v>
      </c>
      <c r="D675" s="3" t="s">
        <v>1525</v>
      </c>
      <c r="E675" s="3" t="s">
        <v>122</v>
      </c>
      <c r="F675" s="2">
        <v>41214</v>
      </c>
      <c r="G675" s="2"/>
      <c r="H675" s="1082" t="s">
        <v>17</v>
      </c>
      <c r="I675" s="1083" t="s">
        <v>18</v>
      </c>
      <c r="J675" s="3" t="s">
        <v>19</v>
      </c>
      <c r="K675" s="3"/>
    </row>
    <row r="676" spans="1:11" ht="100.8" x14ac:dyDescent="0.3">
      <c r="A676" s="3" t="s">
        <v>1524</v>
      </c>
      <c r="B676" s="3" t="str">
        <f>"039718010"</f>
        <v>039718010</v>
      </c>
      <c r="C676" s="3" t="s">
        <v>1514</v>
      </c>
      <c r="D676" s="3" t="s">
        <v>1526</v>
      </c>
      <c r="E676" s="3" t="s">
        <v>122</v>
      </c>
      <c r="F676" s="2">
        <v>41275</v>
      </c>
      <c r="G676" s="2"/>
      <c r="H676" s="1084" t="s">
        <v>17</v>
      </c>
      <c r="I676" s="1085" t="s">
        <v>18</v>
      </c>
      <c r="J676" s="3" t="s">
        <v>19</v>
      </c>
      <c r="K676" s="3"/>
    </row>
    <row r="677" spans="1:11" ht="72" x14ac:dyDescent="0.3">
      <c r="A677" s="3" t="s">
        <v>1527</v>
      </c>
      <c r="B677" s="3" t="str">
        <f>"042235010"</f>
        <v>042235010</v>
      </c>
      <c r="C677" s="3" t="s">
        <v>1514</v>
      </c>
      <c r="D677" s="3" t="s">
        <v>1528</v>
      </c>
      <c r="E677" s="3" t="s">
        <v>1529</v>
      </c>
      <c r="F677" s="2">
        <v>41829</v>
      </c>
      <c r="G677" s="2"/>
      <c r="H677" s="1086" t="s">
        <v>17</v>
      </c>
      <c r="I677" s="1087" t="s">
        <v>18</v>
      </c>
      <c r="J677" s="3" t="s">
        <v>19</v>
      </c>
      <c r="K677" s="3"/>
    </row>
    <row r="678" spans="1:11" ht="72" x14ac:dyDescent="0.3">
      <c r="A678" s="3" t="s">
        <v>1527</v>
      </c>
      <c r="B678" s="3" t="str">
        <f>"042235034"</f>
        <v>042235034</v>
      </c>
      <c r="C678" s="3" t="s">
        <v>1514</v>
      </c>
      <c r="D678" s="3" t="s">
        <v>1530</v>
      </c>
      <c r="E678" s="3" t="s">
        <v>1529</v>
      </c>
      <c r="F678" s="2">
        <v>41829</v>
      </c>
      <c r="G678" s="2"/>
      <c r="H678" s="1088" t="s">
        <v>17</v>
      </c>
      <c r="I678" s="1089" t="s">
        <v>18</v>
      </c>
      <c r="J678" s="3" t="s">
        <v>19</v>
      </c>
      <c r="K678" s="3"/>
    </row>
    <row r="679" spans="1:11" ht="72" x14ac:dyDescent="0.3">
      <c r="A679" s="3" t="s">
        <v>1527</v>
      </c>
      <c r="B679" s="3" t="str">
        <f>"042235022"</f>
        <v>042235022</v>
      </c>
      <c r="C679" s="3" t="s">
        <v>1514</v>
      </c>
      <c r="D679" s="3" t="s">
        <v>1531</v>
      </c>
      <c r="E679" s="3" t="s">
        <v>1529</v>
      </c>
      <c r="F679" s="2">
        <v>41829</v>
      </c>
      <c r="G679" s="2"/>
      <c r="H679" s="1090" t="s">
        <v>17</v>
      </c>
      <c r="I679" s="1091" t="s">
        <v>18</v>
      </c>
      <c r="J679" s="3" t="s">
        <v>19</v>
      </c>
      <c r="K679" s="3"/>
    </row>
    <row r="680" spans="1:11" ht="100.8" x14ac:dyDescent="0.3">
      <c r="A680" s="3" t="s">
        <v>1532</v>
      </c>
      <c r="B680" s="3" t="str">
        <f>"026023059"</f>
        <v>026023059</v>
      </c>
      <c r="C680" s="3" t="s">
        <v>1533</v>
      </c>
      <c r="D680" s="3" t="s">
        <v>1534</v>
      </c>
      <c r="E680" s="3" t="s">
        <v>191</v>
      </c>
      <c r="F680" s="2">
        <v>42836</v>
      </c>
      <c r="G680" s="2">
        <v>44561</v>
      </c>
      <c r="H680" s="1092" t="s">
        <v>37</v>
      </c>
      <c r="I680" s="3" t="s">
        <v>41</v>
      </c>
      <c r="J680" s="3" t="s">
        <v>19</v>
      </c>
      <c r="K680" s="3"/>
    </row>
    <row r="681" spans="1:11" ht="43.2" x14ac:dyDescent="0.3">
      <c r="A681" s="3" t="s">
        <v>1532</v>
      </c>
      <c r="B681" s="3" t="str">
        <f>"026023061"</f>
        <v>026023061</v>
      </c>
      <c r="C681" s="3" t="s">
        <v>1533</v>
      </c>
      <c r="D681" s="3" t="s">
        <v>1535</v>
      </c>
      <c r="E681" s="3" t="s">
        <v>191</v>
      </c>
      <c r="F681" s="2">
        <v>44002</v>
      </c>
      <c r="G681" s="2"/>
      <c r="H681" s="1093" t="s">
        <v>17</v>
      </c>
      <c r="I681" s="1094" t="s">
        <v>18</v>
      </c>
      <c r="J681" s="3" t="s">
        <v>19</v>
      </c>
      <c r="K681" s="3"/>
    </row>
    <row r="682" spans="1:11" ht="57.6" x14ac:dyDescent="0.3">
      <c r="A682" s="3" t="s">
        <v>1536</v>
      </c>
      <c r="B682" s="3" t="str">
        <f>"038605236"</f>
        <v>038605236</v>
      </c>
      <c r="C682" s="3" t="s">
        <v>503</v>
      </c>
      <c r="D682" s="3" t="s">
        <v>1537</v>
      </c>
      <c r="E682" s="3" t="s">
        <v>56</v>
      </c>
      <c r="F682" s="2">
        <v>44049</v>
      </c>
      <c r="G682" s="2">
        <v>44133</v>
      </c>
      <c r="H682" s="1095" t="s">
        <v>17</v>
      </c>
      <c r="I682" s="3" t="s">
        <v>41</v>
      </c>
      <c r="J682" s="3" t="s">
        <v>19</v>
      </c>
      <c r="K682" s="3"/>
    </row>
    <row r="683" spans="1:11" ht="43.2" x14ac:dyDescent="0.3">
      <c r="A683" s="3" t="s">
        <v>1538</v>
      </c>
      <c r="B683" s="3" t="str">
        <f>"040812012"</f>
        <v>040812012</v>
      </c>
      <c r="C683" s="3" t="s">
        <v>503</v>
      </c>
      <c r="D683" s="3" t="s">
        <v>1539</v>
      </c>
      <c r="E683" s="3" t="s">
        <v>263</v>
      </c>
      <c r="F683" s="2">
        <v>43605</v>
      </c>
      <c r="G683" s="2"/>
      <c r="H683" s="1096" t="s">
        <v>17</v>
      </c>
      <c r="I683" s="1097" t="s">
        <v>18</v>
      </c>
      <c r="J683" s="3" t="s">
        <v>19</v>
      </c>
      <c r="K683" s="3"/>
    </row>
    <row r="684" spans="1:11" ht="43.2" x14ac:dyDescent="0.3">
      <c r="A684" s="3" t="s">
        <v>1538</v>
      </c>
      <c r="B684" s="3" t="str">
        <f>"040812024"</f>
        <v>040812024</v>
      </c>
      <c r="C684" s="3" t="s">
        <v>503</v>
      </c>
      <c r="D684" s="3" t="s">
        <v>1540</v>
      </c>
      <c r="E684" s="3" t="s">
        <v>263</v>
      </c>
      <c r="F684" s="2">
        <v>43605</v>
      </c>
      <c r="G684" s="2"/>
      <c r="H684" s="1098" t="s">
        <v>17</v>
      </c>
      <c r="I684" s="1099" t="s">
        <v>18</v>
      </c>
      <c r="J684" s="3" t="s">
        <v>19</v>
      </c>
      <c r="K684" s="3"/>
    </row>
    <row r="685" spans="1:11" ht="43.2" x14ac:dyDescent="0.3">
      <c r="A685" s="3" t="s">
        <v>1538</v>
      </c>
      <c r="B685" s="3" t="str">
        <f>"040812063"</f>
        <v>040812063</v>
      </c>
      <c r="C685" s="3" t="s">
        <v>503</v>
      </c>
      <c r="D685" s="3" t="s">
        <v>1541</v>
      </c>
      <c r="E685" s="3" t="s">
        <v>263</v>
      </c>
      <c r="F685" s="2">
        <v>43216</v>
      </c>
      <c r="G685" s="2"/>
      <c r="H685" s="1100" t="s">
        <v>17</v>
      </c>
      <c r="I685" s="1101" t="s">
        <v>18</v>
      </c>
      <c r="J685" s="3" t="s">
        <v>19</v>
      </c>
      <c r="K685" s="3"/>
    </row>
    <row r="686" spans="1:11" ht="43.2" x14ac:dyDescent="0.3">
      <c r="A686" s="3" t="s">
        <v>1542</v>
      </c>
      <c r="B686" s="3" t="str">
        <f>"040538136"</f>
        <v>040538136</v>
      </c>
      <c r="C686" s="3" t="s">
        <v>503</v>
      </c>
      <c r="D686" s="3" t="s">
        <v>1543</v>
      </c>
      <c r="E686" s="3" t="s">
        <v>64</v>
      </c>
      <c r="F686" s="2">
        <v>44105</v>
      </c>
      <c r="G686" s="2"/>
      <c r="H686" s="1102" t="s">
        <v>17</v>
      </c>
      <c r="I686" s="3" t="s">
        <v>41</v>
      </c>
      <c r="J686" s="3" t="s">
        <v>19</v>
      </c>
      <c r="K686" s="3"/>
    </row>
    <row r="687" spans="1:11" ht="43.2" x14ac:dyDescent="0.3">
      <c r="A687" s="3" t="s">
        <v>1542</v>
      </c>
      <c r="B687" s="3" t="str">
        <f>"040538187"</f>
        <v>040538187</v>
      </c>
      <c r="C687" s="3" t="s">
        <v>503</v>
      </c>
      <c r="D687" s="3" t="s">
        <v>1544</v>
      </c>
      <c r="E687" s="3" t="s">
        <v>64</v>
      </c>
      <c r="F687" s="2">
        <v>44156</v>
      </c>
      <c r="G687" s="2"/>
      <c r="H687" s="1103" t="s">
        <v>17</v>
      </c>
      <c r="I687" s="3" t="s">
        <v>41</v>
      </c>
      <c r="J687" s="3" t="s">
        <v>19</v>
      </c>
      <c r="K687" s="3"/>
    </row>
    <row r="688" spans="1:11" ht="43.2" x14ac:dyDescent="0.3">
      <c r="A688" s="3" t="s">
        <v>1545</v>
      </c>
      <c r="B688" s="3" t="str">
        <f>"040386031"</f>
        <v>040386031</v>
      </c>
      <c r="C688" s="3" t="s">
        <v>503</v>
      </c>
      <c r="D688" s="3" t="s">
        <v>1546</v>
      </c>
      <c r="E688" s="3" t="s">
        <v>27</v>
      </c>
      <c r="F688" s="2">
        <v>43344</v>
      </c>
      <c r="G688" s="2"/>
      <c r="H688" s="1104" t="s">
        <v>17</v>
      </c>
      <c r="I688" s="1105" t="s">
        <v>18</v>
      </c>
      <c r="J688" s="3" t="s">
        <v>19</v>
      </c>
      <c r="K688" s="3"/>
    </row>
    <row r="689" spans="1:11" ht="43.2" x14ac:dyDescent="0.3">
      <c r="A689" s="3" t="s">
        <v>1545</v>
      </c>
      <c r="B689" s="3" t="str">
        <f>"040386120"</f>
        <v>040386120</v>
      </c>
      <c r="C689" s="3" t="s">
        <v>503</v>
      </c>
      <c r="D689" s="3" t="s">
        <v>1547</v>
      </c>
      <c r="E689" s="3" t="s">
        <v>27</v>
      </c>
      <c r="F689" s="2">
        <v>43313</v>
      </c>
      <c r="G689" s="2"/>
      <c r="H689" s="1106" t="s">
        <v>17</v>
      </c>
      <c r="I689" s="1107" t="s">
        <v>18</v>
      </c>
      <c r="J689" s="3" t="s">
        <v>19</v>
      </c>
      <c r="K689" s="3"/>
    </row>
    <row r="690" spans="1:11" ht="57.6" x14ac:dyDescent="0.3">
      <c r="A690" s="3" t="s">
        <v>1548</v>
      </c>
      <c r="B690" s="3" t="str">
        <f>"040921013"</f>
        <v>040921013</v>
      </c>
      <c r="C690" s="3" t="s">
        <v>479</v>
      </c>
      <c r="D690" s="3" t="s">
        <v>1549</v>
      </c>
      <c r="E690" s="3" t="s">
        <v>107</v>
      </c>
      <c r="F690" s="2">
        <v>43054</v>
      </c>
      <c r="G690" s="2"/>
      <c r="H690" s="1108" t="s">
        <v>17</v>
      </c>
      <c r="I690" s="1109" t="s">
        <v>18</v>
      </c>
      <c r="J690" s="3" t="s">
        <v>19</v>
      </c>
      <c r="K690" s="3"/>
    </row>
    <row r="691" spans="1:11" ht="43.2" x14ac:dyDescent="0.3">
      <c r="A691" s="3" t="s">
        <v>1550</v>
      </c>
      <c r="B691" s="3" t="str">
        <f>"043849076"</f>
        <v>043849076</v>
      </c>
      <c r="C691" s="3" t="s">
        <v>1551</v>
      </c>
      <c r="D691" s="3" t="s">
        <v>1552</v>
      </c>
      <c r="E691" s="3" t="s">
        <v>151</v>
      </c>
      <c r="F691" s="2">
        <v>44092</v>
      </c>
      <c r="G691" s="2"/>
      <c r="H691" s="1110" t="s">
        <v>37</v>
      </c>
      <c r="I691" s="3" t="s">
        <v>41</v>
      </c>
      <c r="J691" s="3" t="s">
        <v>19</v>
      </c>
      <c r="K691" s="3"/>
    </row>
    <row r="692" spans="1:11" ht="72" x14ac:dyDescent="0.3">
      <c r="A692" s="3" t="s">
        <v>1553</v>
      </c>
      <c r="B692" s="3" t="str">
        <f>"025738081"</f>
        <v>025738081</v>
      </c>
      <c r="C692" s="3" t="s">
        <v>1554</v>
      </c>
      <c r="D692" s="3" t="s">
        <v>96</v>
      </c>
      <c r="E692" s="3" t="s">
        <v>315</v>
      </c>
      <c r="F692" s="2">
        <v>43388</v>
      </c>
      <c r="G692" s="2"/>
      <c r="H692" s="1111" t="s">
        <v>17</v>
      </c>
      <c r="I692" s="1112" t="s">
        <v>18</v>
      </c>
      <c r="J692" s="3" t="s">
        <v>19</v>
      </c>
      <c r="K692" s="3"/>
    </row>
    <row r="693" spans="1:11" ht="43.2" x14ac:dyDescent="0.3">
      <c r="A693" s="3" t="s">
        <v>1555</v>
      </c>
      <c r="B693" s="3" t="str">
        <f>"035675038"</f>
        <v>035675038</v>
      </c>
      <c r="C693" s="3" t="s">
        <v>1556</v>
      </c>
      <c r="D693" s="3" t="s">
        <v>1557</v>
      </c>
      <c r="E693" s="3" t="s">
        <v>1558</v>
      </c>
      <c r="F693" s="2">
        <v>41365</v>
      </c>
      <c r="G693" s="2"/>
      <c r="H693" s="1113" t="s">
        <v>17</v>
      </c>
      <c r="I693" s="1114" t="s">
        <v>18</v>
      </c>
      <c r="J693" s="3" t="s">
        <v>19</v>
      </c>
      <c r="K693" s="3"/>
    </row>
    <row r="694" spans="1:11" ht="43.2" x14ac:dyDescent="0.3">
      <c r="A694" s="3" t="s">
        <v>1559</v>
      </c>
      <c r="B694" s="3" t="str">
        <f>"037245053"</f>
        <v>037245053</v>
      </c>
      <c r="C694" s="3" t="s">
        <v>1487</v>
      </c>
      <c r="D694" s="3" t="s">
        <v>1560</v>
      </c>
      <c r="E694" s="3" t="s">
        <v>64</v>
      </c>
      <c r="F694" s="2">
        <v>43770</v>
      </c>
      <c r="G694" s="2">
        <v>43922</v>
      </c>
      <c r="H694" s="1115" t="s">
        <v>17</v>
      </c>
      <c r="I694" s="3" t="s">
        <v>41</v>
      </c>
      <c r="J694" s="3" t="s">
        <v>19</v>
      </c>
      <c r="K694" s="3"/>
    </row>
    <row r="695" spans="1:11" ht="43.2" x14ac:dyDescent="0.3">
      <c r="A695" s="3" t="s">
        <v>1559</v>
      </c>
      <c r="B695" s="3" t="str">
        <f>"037245065"</f>
        <v>037245065</v>
      </c>
      <c r="C695" s="3" t="s">
        <v>1487</v>
      </c>
      <c r="D695" s="3" t="s">
        <v>1488</v>
      </c>
      <c r="E695" s="3" t="s">
        <v>64</v>
      </c>
      <c r="F695" s="2">
        <v>43770</v>
      </c>
      <c r="G695" s="2">
        <v>43922</v>
      </c>
      <c r="H695" s="1116" t="s">
        <v>17</v>
      </c>
      <c r="I695" s="3" t="s">
        <v>41</v>
      </c>
      <c r="J695" s="3" t="s">
        <v>19</v>
      </c>
      <c r="K695" s="3"/>
    </row>
    <row r="696" spans="1:11" ht="57.6" x14ac:dyDescent="0.3">
      <c r="A696" s="3" t="s">
        <v>1561</v>
      </c>
      <c r="B696" s="3" t="str">
        <f>"040581011"</f>
        <v>040581011</v>
      </c>
      <c r="C696" s="3" t="s">
        <v>1562</v>
      </c>
      <c r="D696" s="3" t="s">
        <v>1563</v>
      </c>
      <c r="E696" s="3" t="s">
        <v>16</v>
      </c>
      <c r="F696" s="2">
        <v>43983</v>
      </c>
      <c r="G696" s="2">
        <v>44196</v>
      </c>
      <c r="H696" s="1117" t="s">
        <v>17</v>
      </c>
      <c r="I696" s="3" t="s">
        <v>41</v>
      </c>
      <c r="J696" s="3" t="s">
        <v>19</v>
      </c>
      <c r="K696" s="3"/>
    </row>
    <row r="697" spans="1:11" ht="57.6" x14ac:dyDescent="0.3">
      <c r="A697" s="3" t="s">
        <v>1561</v>
      </c>
      <c r="B697" s="3" t="str">
        <f>"040581023"</f>
        <v>040581023</v>
      </c>
      <c r="C697" s="3" t="s">
        <v>1562</v>
      </c>
      <c r="D697" s="3" t="s">
        <v>1564</v>
      </c>
      <c r="E697" s="3" t="s">
        <v>16</v>
      </c>
      <c r="F697" s="2">
        <v>43891</v>
      </c>
      <c r="G697" s="2">
        <v>44196</v>
      </c>
      <c r="H697" s="1118" t="s">
        <v>17</v>
      </c>
      <c r="I697" s="3" t="s">
        <v>41</v>
      </c>
      <c r="J697" s="3" t="s">
        <v>19</v>
      </c>
      <c r="K697" s="3"/>
    </row>
    <row r="698" spans="1:11" ht="57.6" x14ac:dyDescent="0.3">
      <c r="A698" s="3" t="s">
        <v>1561</v>
      </c>
      <c r="B698" s="3" t="str">
        <f>"040581035"</f>
        <v>040581035</v>
      </c>
      <c r="C698" s="3" t="s">
        <v>1562</v>
      </c>
      <c r="D698" s="3" t="s">
        <v>1565</v>
      </c>
      <c r="E698" s="3" t="s">
        <v>16</v>
      </c>
      <c r="F698" s="2">
        <v>44012</v>
      </c>
      <c r="G698" s="2">
        <v>44196</v>
      </c>
      <c r="H698" s="1119" t="s">
        <v>17</v>
      </c>
      <c r="I698" s="3" t="s">
        <v>41</v>
      </c>
      <c r="J698" s="3" t="s">
        <v>19</v>
      </c>
      <c r="K698" s="3"/>
    </row>
    <row r="699" spans="1:11" ht="57.6" x14ac:dyDescent="0.3">
      <c r="A699" s="3" t="s">
        <v>1561</v>
      </c>
      <c r="B699" s="3" t="str">
        <f>"040581050"</f>
        <v>040581050</v>
      </c>
      <c r="C699" s="3" t="s">
        <v>1562</v>
      </c>
      <c r="D699" s="3" t="s">
        <v>1566</v>
      </c>
      <c r="E699" s="3" t="s">
        <v>16</v>
      </c>
      <c r="F699" s="2">
        <v>43921</v>
      </c>
      <c r="G699" s="2">
        <v>44196</v>
      </c>
      <c r="H699" s="1120" t="s">
        <v>17</v>
      </c>
      <c r="I699" s="3" t="s">
        <v>41</v>
      </c>
      <c r="J699" s="3" t="s">
        <v>19</v>
      </c>
      <c r="K699" s="3"/>
    </row>
    <row r="700" spans="1:11" ht="43.2" x14ac:dyDescent="0.3">
      <c r="A700" s="3" t="s">
        <v>1567</v>
      </c>
      <c r="B700" s="3" t="str">
        <f>"040693018"</f>
        <v>040693018</v>
      </c>
      <c r="C700" s="3" t="s">
        <v>1562</v>
      </c>
      <c r="D700" s="3" t="s">
        <v>1568</v>
      </c>
      <c r="E700" s="3" t="s">
        <v>83</v>
      </c>
      <c r="F700" s="2">
        <v>43272</v>
      </c>
      <c r="G700" s="2"/>
      <c r="H700" s="1121" t="s">
        <v>17</v>
      </c>
      <c r="I700" s="3" t="s">
        <v>41</v>
      </c>
      <c r="J700" s="3" t="s">
        <v>19</v>
      </c>
      <c r="K700" s="3"/>
    </row>
    <row r="701" spans="1:11" ht="43.2" x14ac:dyDescent="0.3">
      <c r="A701" s="3" t="s">
        <v>1567</v>
      </c>
      <c r="B701" s="3" t="str">
        <f>"040693069"</f>
        <v>040693069</v>
      </c>
      <c r="C701" s="3" t="s">
        <v>1562</v>
      </c>
      <c r="D701" s="3" t="s">
        <v>1569</v>
      </c>
      <c r="E701" s="3" t="s">
        <v>83</v>
      </c>
      <c r="F701" s="2">
        <v>43272</v>
      </c>
      <c r="G701" s="2"/>
      <c r="H701" s="1122" t="s">
        <v>17</v>
      </c>
      <c r="I701" s="3" t="s">
        <v>41</v>
      </c>
      <c r="J701" s="3" t="s">
        <v>19</v>
      </c>
      <c r="K701" s="3"/>
    </row>
    <row r="702" spans="1:11" ht="57.6" x14ac:dyDescent="0.3">
      <c r="A702" s="3" t="s">
        <v>1570</v>
      </c>
      <c r="B702" s="3" t="str">
        <f>"039646031"</f>
        <v>039646031</v>
      </c>
      <c r="C702" s="3" t="s">
        <v>1562</v>
      </c>
      <c r="D702" s="3" t="s">
        <v>1571</v>
      </c>
      <c r="E702" s="3" t="s">
        <v>27</v>
      </c>
      <c r="F702" s="2">
        <v>44069</v>
      </c>
      <c r="G702" s="2">
        <v>44135</v>
      </c>
      <c r="H702" s="1123" t="s">
        <v>17</v>
      </c>
      <c r="I702" s="3" t="s">
        <v>41</v>
      </c>
      <c r="J702" s="3" t="s">
        <v>19</v>
      </c>
      <c r="K702" s="3"/>
    </row>
    <row r="703" spans="1:11" ht="57.6" x14ac:dyDescent="0.3">
      <c r="A703" s="3" t="s">
        <v>1570</v>
      </c>
      <c r="B703" s="3" t="str">
        <f>"039646043"</f>
        <v>039646043</v>
      </c>
      <c r="C703" s="3" t="s">
        <v>1562</v>
      </c>
      <c r="D703" s="3" t="s">
        <v>1572</v>
      </c>
      <c r="E703" s="3" t="s">
        <v>27</v>
      </c>
      <c r="F703" s="2">
        <v>40982</v>
      </c>
      <c r="G703" s="2"/>
      <c r="H703" s="1124" t="s">
        <v>17</v>
      </c>
      <c r="I703" s="1125" t="s">
        <v>18</v>
      </c>
      <c r="J703" s="3" t="s">
        <v>19</v>
      </c>
      <c r="K703" s="3"/>
    </row>
    <row r="704" spans="1:11" ht="43.2" x14ac:dyDescent="0.3">
      <c r="A704" s="3" t="s">
        <v>1573</v>
      </c>
      <c r="B704" s="3" t="str">
        <f>"004897029"</f>
        <v>004897029</v>
      </c>
      <c r="C704" s="3" t="s">
        <v>1574</v>
      </c>
      <c r="D704" s="3" t="s">
        <v>1575</v>
      </c>
      <c r="E704" s="3" t="s">
        <v>835</v>
      </c>
      <c r="F704" s="2">
        <v>42815</v>
      </c>
      <c r="G704" s="2"/>
      <c r="H704" s="1126" t="s">
        <v>37</v>
      </c>
      <c r="I704" s="1127" t="s">
        <v>18</v>
      </c>
      <c r="J704" s="3" t="s">
        <v>19</v>
      </c>
      <c r="K704" s="3"/>
    </row>
    <row r="705" spans="1:11" ht="43.2" x14ac:dyDescent="0.3">
      <c r="A705" s="3" t="s">
        <v>1576</v>
      </c>
      <c r="B705" s="3" t="str">
        <f>"036925028"</f>
        <v>036925028</v>
      </c>
      <c r="C705" s="3" t="s">
        <v>1577</v>
      </c>
      <c r="D705" s="3" t="s">
        <v>1578</v>
      </c>
      <c r="E705" s="3" t="s">
        <v>1579</v>
      </c>
      <c r="F705" s="2">
        <v>42754</v>
      </c>
      <c r="G705" s="2"/>
      <c r="H705" s="1128" t="s">
        <v>37</v>
      </c>
      <c r="I705" s="1129" t="s">
        <v>18</v>
      </c>
      <c r="J705" s="3" t="s">
        <v>19</v>
      </c>
      <c r="K705" s="3"/>
    </row>
    <row r="706" spans="1:11" ht="43.2" x14ac:dyDescent="0.3">
      <c r="A706" s="3" t="s">
        <v>1576</v>
      </c>
      <c r="B706" s="3" t="str">
        <f>"036925067"</f>
        <v>036925067</v>
      </c>
      <c r="C706" s="3" t="s">
        <v>1577</v>
      </c>
      <c r="D706" s="3" t="s">
        <v>1580</v>
      </c>
      <c r="E706" s="3" t="s">
        <v>1579</v>
      </c>
      <c r="F706" s="2">
        <v>42754</v>
      </c>
      <c r="G706" s="2"/>
      <c r="H706" s="1130" t="s">
        <v>17</v>
      </c>
      <c r="I706" s="1131" t="s">
        <v>18</v>
      </c>
      <c r="J706" s="3" t="s">
        <v>19</v>
      </c>
      <c r="K706" s="3"/>
    </row>
    <row r="707" spans="1:11" ht="72" x14ac:dyDescent="0.3">
      <c r="A707" s="3" t="s">
        <v>1581</v>
      </c>
      <c r="B707" s="3" t="str">
        <f>"043792011"</f>
        <v>043792011</v>
      </c>
      <c r="C707" s="3" t="s">
        <v>1582</v>
      </c>
      <c r="D707" s="3" t="s">
        <v>1583</v>
      </c>
      <c r="E707" s="3" t="s">
        <v>115</v>
      </c>
      <c r="F707" s="2">
        <v>43970</v>
      </c>
      <c r="G707" s="2">
        <v>44255</v>
      </c>
      <c r="H707" s="1132" t="s">
        <v>37</v>
      </c>
      <c r="I707" s="3" t="s">
        <v>41</v>
      </c>
      <c r="J707" s="3" t="s">
        <v>156</v>
      </c>
      <c r="K707" s="3"/>
    </row>
    <row r="708" spans="1:11" ht="57.6" x14ac:dyDescent="0.3">
      <c r="A708" s="3" t="s">
        <v>1584</v>
      </c>
      <c r="B708" s="3" t="str">
        <f>"036561025"</f>
        <v>036561025</v>
      </c>
      <c r="C708" s="3" t="s">
        <v>1585</v>
      </c>
      <c r="D708" s="3" t="s">
        <v>1586</v>
      </c>
      <c r="E708" s="3" t="s">
        <v>1587</v>
      </c>
      <c r="F708" s="2">
        <v>43738</v>
      </c>
      <c r="G708" s="2">
        <v>44043</v>
      </c>
      <c r="H708" s="1133" t="s">
        <v>37</v>
      </c>
      <c r="I708" s="3" t="s">
        <v>41</v>
      </c>
      <c r="J708" s="3" t="s">
        <v>156</v>
      </c>
      <c r="K708" s="3"/>
    </row>
    <row r="709" spans="1:11" ht="43.2" x14ac:dyDescent="0.3">
      <c r="A709" s="3" t="s">
        <v>1588</v>
      </c>
      <c r="B709" s="3" t="str">
        <f>"043842018"</f>
        <v>043842018</v>
      </c>
      <c r="C709" s="3" t="s">
        <v>1589</v>
      </c>
      <c r="D709" s="3" t="s">
        <v>1590</v>
      </c>
      <c r="E709" s="3" t="s">
        <v>353</v>
      </c>
      <c r="F709" s="2">
        <v>42979</v>
      </c>
      <c r="G709" s="2"/>
      <c r="H709" s="1134" t="s">
        <v>17</v>
      </c>
      <c r="I709" s="1135" t="s">
        <v>32</v>
      </c>
      <c r="J709" s="3" t="s">
        <v>19</v>
      </c>
      <c r="K709" s="3"/>
    </row>
    <row r="710" spans="1:11" ht="57.6" x14ac:dyDescent="0.3">
      <c r="A710" s="3" t="s">
        <v>1591</v>
      </c>
      <c r="B710" s="3" t="str">
        <f>"044267045"</f>
        <v>044267045</v>
      </c>
      <c r="C710" s="3" t="s">
        <v>1589</v>
      </c>
      <c r="D710" s="3" t="s">
        <v>1592</v>
      </c>
      <c r="E710" s="3" t="s">
        <v>513</v>
      </c>
      <c r="F710" s="2">
        <v>43087</v>
      </c>
      <c r="G710" s="2"/>
      <c r="H710" s="1136" t="s">
        <v>17</v>
      </c>
      <c r="I710" s="1137" t="s">
        <v>18</v>
      </c>
      <c r="J710" s="3" t="s">
        <v>19</v>
      </c>
      <c r="K710" s="3"/>
    </row>
    <row r="711" spans="1:11" ht="57.6" x14ac:dyDescent="0.3">
      <c r="A711" s="3" t="s">
        <v>1591</v>
      </c>
      <c r="B711" s="3" t="str">
        <f>"044267058"</f>
        <v>044267058</v>
      </c>
      <c r="C711" s="3" t="s">
        <v>1589</v>
      </c>
      <c r="D711" s="3" t="s">
        <v>1593</v>
      </c>
      <c r="E711" s="3" t="s">
        <v>513</v>
      </c>
      <c r="F711" s="2">
        <v>43087</v>
      </c>
      <c r="G711" s="2"/>
      <c r="H711" s="1138" t="s">
        <v>17</v>
      </c>
      <c r="I711" s="1139" t="s">
        <v>18</v>
      </c>
      <c r="J711" s="3" t="s">
        <v>19</v>
      </c>
      <c r="K711" s="3"/>
    </row>
    <row r="712" spans="1:11" ht="57.6" x14ac:dyDescent="0.3">
      <c r="A712" s="3" t="s">
        <v>1591</v>
      </c>
      <c r="B712" s="3" t="str">
        <f>"044267146"</f>
        <v>044267146</v>
      </c>
      <c r="C712" s="3" t="s">
        <v>1589</v>
      </c>
      <c r="D712" s="3" t="s">
        <v>1594</v>
      </c>
      <c r="E712" s="3" t="s">
        <v>513</v>
      </c>
      <c r="F712" s="2">
        <v>43087</v>
      </c>
      <c r="G712" s="2"/>
      <c r="H712" s="1140" t="s">
        <v>17</v>
      </c>
      <c r="I712" s="1141" t="s">
        <v>18</v>
      </c>
      <c r="J712" s="3" t="s">
        <v>19</v>
      </c>
      <c r="K712" s="3"/>
    </row>
    <row r="713" spans="1:11" ht="57.6" x14ac:dyDescent="0.3">
      <c r="A713" s="3" t="s">
        <v>1591</v>
      </c>
      <c r="B713" s="3" t="str">
        <f>"044267262"</f>
        <v>044267262</v>
      </c>
      <c r="C713" s="3" t="s">
        <v>1589</v>
      </c>
      <c r="D713" s="3" t="s">
        <v>1595</v>
      </c>
      <c r="E713" s="3" t="s">
        <v>513</v>
      </c>
      <c r="F713" s="2">
        <v>44227</v>
      </c>
      <c r="G713" s="2"/>
      <c r="H713" s="1142" t="s">
        <v>17</v>
      </c>
      <c r="I713" s="1143" t="s">
        <v>18</v>
      </c>
      <c r="J713" s="3" t="s">
        <v>19</v>
      </c>
      <c r="K713" s="3"/>
    </row>
    <row r="714" spans="1:11" ht="57.6" x14ac:dyDescent="0.3">
      <c r="A714" s="3" t="s">
        <v>1591</v>
      </c>
      <c r="B714" s="3" t="str">
        <f>"044267274"</f>
        <v>044267274</v>
      </c>
      <c r="C714" s="3" t="s">
        <v>1589</v>
      </c>
      <c r="D714" s="3" t="s">
        <v>1596</v>
      </c>
      <c r="E714" s="3" t="s">
        <v>513</v>
      </c>
      <c r="F714" s="2">
        <v>44166</v>
      </c>
      <c r="G714" s="2"/>
      <c r="H714" s="1144" t="s">
        <v>17</v>
      </c>
      <c r="I714" s="1145" t="s">
        <v>18</v>
      </c>
      <c r="J714" s="3" t="s">
        <v>19</v>
      </c>
      <c r="K714" s="3"/>
    </row>
    <row r="715" spans="1:11" ht="57.6" x14ac:dyDescent="0.3">
      <c r="A715" s="3" t="s">
        <v>1591</v>
      </c>
      <c r="B715" s="3" t="str">
        <f>"044267324"</f>
        <v>044267324</v>
      </c>
      <c r="C715" s="3" t="s">
        <v>1589</v>
      </c>
      <c r="D715" s="3" t="s">
        <v>1597</v>
      </c>
      <c r="E715" s="3" t="s">
        <v>513</v>
      </c>
      <c r="F715" s="2">
        <v>44166</v>
      </c>
      <c r="G715" s="2"/>
      <c r="H715" s="1146" t="s">
        <v>17</v>
      </c>
      <c r="I715" s="1147" t="s">
        <v>18</v>
      </c>
      <c r="J715" s="3" t="s">
        <v>19</v>
      </c>
      <c r="K715" s="3"/>
    </row>
    <row r="716" spans="1:11" ht="43.2" x14ac:dyDescent="0.3">
      <c r="A716" s="3" t="s">
        <v>1598</v>
      </c>
      <c r="B716" s="3" t="str">
        <f>"043843010"</f>
        <v>043843010</v>
      </c>
      <c r="C716" s="3" t="s">
        <v>1589</v>
      </c>
      <c r="D716" s="3" t="s">
        <v>1599</v>
      </c>
      <c r="E716" s="3" t="s">
        <v>27</v>
      </c>
      <c r="F716" s="2">
        <v>44005</v>
      </c>
      <c r="G716" s="2"/>
      <c r="H716" s="1148" t="s">
        <v>17</v>
      </c>
      <c r="I716" s="1149" t="s">
        <v>18</v>
      </c>
      <c r="J716" s="3" t="s">
        <v>19</v>
      </c>
      <c r="K716" s="3"/>
    </row>
    <row r="717" spans="1:11" ht="43.2" x14ac:dyDescent="0.3">
      <c r="A717" s="3" t="s">
        <v>1598</v>
      </c>
      <c r="B717" s="3" t="str">
        <f>"043843046"</f>
        <v>043843046</v>
      </c>
      <c r="C717" s="3" t="s">
        <v>1589</v>
      </c>
      <c r="D717" s="3" t="s">
        <v>1600</v>
      </c>
      <c r="E717" s="3" t="s">
        <v>27</v>
      </c>
      <c r="F717" s="2">
        <v>44005</v>
      </c>
      <c r="G717" s="2"/>
      <c r="H717" s="1150" t="s">
        <v>17</v>
      </c>
      <c r="I717" s="1151" t="s">
        <v>18</v>
      </c>
      <c r="J717" s="3" t="s">
        <v>19</v>
      </c>
      <c r="K717" s="3"/>
    </row>
    <row r="718" spans="1:11" ht="43.2" x14ac:dyDescent="0.3">
      <c r="A718" s="3" t="s">
        <v>1598</v>
      </c>
      <c r="B718" s="3" t="str">
        <f>"043843224"</f>
        <v>043843224</v>
      </c>
      <c r="C718" s="3" t="s">
        <v>1589</v>
      </c>
      <c r="D718" s="3" t="s">
        <v>1601</v>
      </c>
      <c r="E718" s="3" t="s">
        <v>27</v>
      </c>
      <c r="F718" s="2">
        <v>44042</v>
      </c>
      <c r="G718" s="2"/>
      <c r="H718" s="1152" t="s">
        <v>17</v>
      </c>
      <c r="I718" s="1153" t="s">
        <v>18</v>
      </c>
      <c r="J718" s="3" t="s">
        <v>19</v>
      </c>
      <c r="K718" s="3"/>
    </row>
    <row r="719" spans="1:11" ht="57.6" x14ac:dyDescent="0.3">
      <c r="A719" s="3" t="s">
        <v>1602</v>
      </c>
      <c r="B719" s="3" t="str">
        <f>"037073020"</f>
        <v>037073020</v>
      </c>
      <c r="C719" s="3" t="s">
        <v>1603</v>
      </c>
      <c r="D719" s="3" t="s">
        <v>1604</v>
      </c>
      <c r="E719" s="3" t="s">
        <v>1605</v>
      </c>
      <c r="F719" s="2">
        <v>43913</v>
      </c>
      <c r="G719" s="2">
        <v>43981</v>
      </c>
      <c r="H719" s="1154" t="s">
        <v>37</v>
      </c>
      <c r="I719" s="3" t="s">
        <v>178</v>
      </c>
      <c r="J719" s="3" t="s">
        <v>240</v>
      </c>
      <c r="K719" s="3"/>
    </row>
    <row r="720" spans="1:11" ht="43.2" x14ac:dyDescent="0.3">
      <c r="A720" s="3" t="s">
        <v>1606</v>
      </c>
      <c r="B720" s="3" t="str">
        <f>"024846053"</f>
        <v>024846053</v>
      </c>
      <c r="C720" s="3" t="s">
        <v>1607</v>
      </c>
      <c r="D720" s="3" t="s">
        <v>1608</v>
      </c>
      <c r="E720" s="3" t="s">
        <v>1609</v>
      </c>
      <c r="F720" s="2">
        <v>41522</v>
      </c>
      <c r="G720" s="2"/>
      <c r="H720" s="1155" t="s">
        <v>37</v>
      </c>
      <c r="I720" s="1156" t="s">
        <v>32</v>
      </c>
      <c r="J720" s="3" t="s">
        <v>19</v>
      </c>
      <c r="K720" s="3"/>
    </row>
    <row r="721" spans="1:11" ht="43.2" x14ac:dyDescent="0.3">
      <c r="A721" s="3" t="s">
        <v>1606</v>
      </c>
      <c r="B721" s="3" t="str">
        <f>"024846065"</f>
        <v>024846065</v>
      </c>
      <c r="C721" s="3" t="s">
        <v>1607</v>
      </c>
      <c r="D721" s="3" t="s">
        <v>1610</v>
      </c>
      <c r="E721" s="3" t="s">
        <v>1609</v>
      </c>
      <c r="F721" s="2">
        <v>41522</v>
      </c>
      <c r="G721" s="2"/>
      <c r="H721" s="1157" t="s">
        <v>17</v>
      </c>
      <c r="I721" s="1158" t="s">
        <v>32</v>
      </c>
      <c r="J721" s="3" t="s">
        <v>19</v>
      </c>
      <c r="K721" s="3"/>
    </row>
    <row r="722" spans="1:11" ht="43.2" x14ac:dyDescent="0.3">
      <c r="A722" s="3" t="s">
        <v>1606</v>
      </c>
      <c r="B722" s="3" t="str">
        <f>"024846038"</f>
        <v>024846038</v>
      </c>
      <c r="C722" s="3" t="s">
        <v>1607</v>
      </c>
      <c r="D722" s="3" t="s">
        <v>1611</v>
      </c>
      <c r="E722" s="3" t="s">
        <v>1609</v>
      </c>
      <c r="F722" s="2">
        <v>41522</v>
      </c>
      <c r="G722" s="2"/>
      <c r="H722" s="1159" t="s">
        <v>17</v>
      </c>
      <c r="I722" s="1160" t="s">
        <v>32</v>
      </c>
      <c r="J722" s="3" t="s">
        <v>19</v>
      </c>
      <c r="K722" s="3"/>
    </row>
    <row r="723" spans="1:11" ht="43.2" x14ac:dyDescent="0.3">
      <c r="A723" s="3" t="s">
        <v>1606</v>
      </c>
      <c r="B723" s="3" t="str">
        <f>"024846026"</f>
        <v>024846026</v>
      </c>
      <c r="C723" s="3" t="s">
        <v>1607</v>
      </c>
      <c r="D723" s="3" t="s">
        <v>1612</v>
      </c>
      <c r="E723" s="3" t="s">
        <v>1609</v>
      </c>
      <c r="F723" s="2">
        <v>41522</v>
      </c>
      <c r="G723" s="2"/>
      <c r="H723" s="1161" t="s">
        <v>17</v>
      </c>
      <c r="I723" s="1162" t="s">
        <v>32</v>
      </c>
      <c r="J723" s="3" t="s">
        <v>19</v>
      </c>
      <c r="K723" s="3"/>
    </row>
    <row r="724" spans="1:11" ht="43.2" x14ac:dyDescent="0.3">
      <c r="A724" s="3" t="s">
        <v>1613</v>
      </c>
      <c r="B724" s="3" t="str">
        <f>"033927029"</f>
        <v>033927029</v>
      </c>
      <c r="C724" s="3" t="s">
        <v>1607</v>
      </c>
      <c r="D724" s="3" t="s">
        <v>1611</v>
      </c>
      <c r="E724" s="3" t="s">
        <v>107</v>
      </c>
      <c r="F724" s="2">
        <v>43185</v>
      </c>
      <c r="G724" s="2"/>
      <c r="H724" s="1163" t="s">
        <v>17</v>
      </c>
      <c r="I724" s="1164" t="s">
        <v>18</v>
      </c>
      <c r="J724" s="3" t="s">
        <v>19</v>
      </c>
      <c r="K724" s="3"/>
    </row>
    <row r="725" spans="1:11" ht="43.2" x14ac:dyDescent="0.3">
      <c r="A725" s="3" t="s">
        <v>1613</v>
      </c>
      <c r="B725" s="3" t="str">
        <f>"033927031"</f>
        <v>033927031</v>
      </c>
      <c r="C725" s="3" t="s">
        <v>1607</v>
      </c>
      <c r="D725" s="3" t="s">
        <v>1614</v>
      </c>
      <c r="E725" s="3" t="s">
        <v>107</v>
      </c>
      <c r="F725" s="2">
        <v>43185</v>
      </c>
      <c r="G725" s="2"/>
      <c r="H725" s="1165" t="s">
        <v>17</v>
      </c>
      <c r="I725" s="1166" t="s">
        <v>18</v>
      </c>
      <c r="J725" s="3" t="s">
        <v>19</v>
      </c>
      <c r="K725" s="3"/>
    </row>
    <row r="726" spans="1:11" ht="43.2" x14ac:dyDescent="0.3">
      <c r="A726" s="3" t="s">
        <v>1615</v>
      </c>
      <c r="B726" s="3" t="str">
        <f>"041371016"</f>
        <v>041371016</v>
      </c>
      <c r="C726" s="3"/>
      <c r="D726" s="3" t="s">
        <v>1616</v>
      </c>
      <c r="E726" s="3" t="s">
        <v>1617</v>
      </c>
      <c r="F726" s="2">
        <v>43191</v>
      </c>
      <c r="G726" s="2"/>
      <c r="H726" s="1167" t="s">
        <v>17</v>
      </c>
      <c r="I726" s="1168" t="s">
        <v>32</v>
      </c>
      <c r="J726" s="3" t="s">
        <v>19</v>
      </c>
      <c r="K726" s="3"/>
    </row>
    <row r="727" spans="1:11" ht="43.2" x14ac:dyDescent="0.3">
      <c r="A727" s="3" t="s">
        <v>1618</v>
      </c>
      <c r="B727" s="3" t="str">
        <f>"037028014"</f>
        <v>037028014</v>
      </c>
      <c r="C727" s="3" t="s">
        <v>1619</v>
      </c>
      <c r="D727" s="3" t="s">
        <v>1620</v>
      </c>
      <c r="E727" s="3" t="s">
        <v>1238</v>
      </c>
      <c r="F727" s="2">
        <v>44192</v>
      </c>
      <c r="G727" s="2">
        <v>44469</v>
      </c>
      <c r="H727" s="1169" t="s">
        <v>17</v>
      </c>
      <c r="I727" s="3" t="s">
        <v>41</v>
      </c>
      <c r="J727" s="3" t="s">
        <v>19</v>
      </c>
      <c r="K727" s="3"/>
    </row>
    <row r="728" spans="1:11" ht="43.2" x14ac:dyDescent="0.3">
      <c r="A728" s="3" t="s">
        <v>1618</v>
      </c>
      <c r="B728" s="3" t="str">
        <f>"037028026"</f>
        <v>037028026</v>
      </c>
      <c r="C728" s="3" t="s">
        <v>1619</v>
      </c>
      <c r="D728" s="3" t="s">
        <v>1621</v>
      </c>
      <c r="E728" s="3" t="s">
        <v>1238</v>
      </c>
      <c r="F728" s="2">
        <v>44192</v>
      </c>
      <c r="G728" s="2">
        <v>44469</v>
      </c>
      <c r="H728" s="1170" t="s">
        <v>17</v>
      </c>
      <c r="I728" s="3" t="s">
        <v>41</v>
      </c>
      <c r="J728" s="3" t="s">
        <v>19</v>
      </c>
      <c r="K728" s="3"/>
    </row>
    <row r="729" spans="1:11" ht="43.2" x14ac:dyDescent="0.3">
      <c r="A729" s="3" t="s">
        <v>1622</v>
      </c>
      <c r="B729" s="3" t="str">
        <f>"031219025"</f>
        <v>031219025</v>
      </c>
      <c r="C729" s="3" t="s">
        <v>1623</v>
      </c>
      <c r="D729" s="3" t="s">
        <v>1624</v>
      </c>
      <c r="E729" s="3" t="s">
        <v>1238</v>
      </c>
      <c r="F729" s="2">
        <v>43955</v>
      </c>
      <c r="G729" s="2">
        <v>44377</v>
      </c>
      <c r="H729" s="1171" t="s">
        <v>17</v>
      </c>
      <c r="I729" s="3" t="s">
        <v>41</v>
      </c>
      <c r="J729" s="3" t="s">
        <v>19</v>
      </c>
      <c r="K729" s="3"/>
    </row>
    <row r="730" spans="1:11" ht="43.2" x14ac:dyDescent="0.3">
      <c r="A730" s="3" t="s">
        <v>1625</v>
      </c>
      <c r="B730" s="3" t="str">
        <f>"043463013"</f>
        <v>043463013</v>
      </c>
      <c r="C730" s="3" t="s">
        <v>1626</v>
      </c>
      <c r="D730" s="3" t="s">
        <v>1627</v>
      </c>
      <c r="E730" s="3" t="s">
        <v>659</v>
      </c>
      <c r="F730" s="2">
        <v>43220</v>
      </c>
      <c r="G730" s="2"/>
      <c r="H730" s="1172" t="s">
        <v>17</v>
      </c>
      <c r="I730" s="1173" t="s">
        <v>18</v>
      </c>
      <c r="J730" s="3" t="s">
        <v>19</v>
      </c>
      <c r="K730" s="3"/>
    </row>
    <row r="731" spans="1:11" ht="43.2" x14ac:dyDescent="0.3">
      <c r="A731" s="3" t="s">
        <v>1628</v>
      </c>
      <c r="B731" s="3" t="str">
        <f>"043379015"</f>
        <v>043379015</v>
      </c>
      <c r="C731" s="3" t="s">
        <v>1629</v>
      </c>
      <c r="D731" s="3" t="s">
        <v>1630</v>
      </c>
      <c r="E731" s="3" t="s">
        <v>83</v>
      </c>
      <c r="F731" s="2">
        <v>43340</v>
      </c>
      <c r="G731" s="2"/>
      <c r="H731" s="1174" t="s">
        <v>17</v>
      </c>
      <c r="I731" s="1175" t="s">
        <v>32</v>
      </c>
      <c r="J731" s="3" t="s">
        <v>19</v>
      </c>
      <c r="K731" s="3"/>
    </row>
    <row r="732" spans="1:11" ht="43.2" x14ac:dyDescent="0.3">
      <c r="A732" s="3" t="s">
        <v>1631</v>
      </c>
      <c r="B732" s="3" t="str">
        <f>"043172028"</f>
        <v>043172028</v>
      </c>
      <c r="C732" s="3" t="s">
        <v>1629</v>
      </c>
      <c r="D732" s="3" t="s">
        <v>1632</v>
      </c>
      <c r="E732" s="3" t="s">
        <v>122</v>
      </c>
      <c r="F732" s="2">
        <v>42644</v>
      </c>
      <c r="G732" s="2"/>
      <c r="H732" s="1176" t="s">
        <v>17</v>
      </c>
      <c r="I732" s="1177" t="s">
        <v>18</v>
      </c>
      <c r="J732" s="3" t="s">
        <v>19</v>
      </c>
      <c r="K732" s="3"/>
    </row>
    <row r="733" spans="1:11" ht="57.6" x14ac:dyDescent="0.3">
      <c r="A733" s="3" t="s">
        <v>1633</v>
      </c>
      <c r="B733" s="3" t="str">
        <f>"045507011"</f>
        <v>045507011</v>
      </c>
      <c r="C733" s="3" t="s">
        <v>1634</v>
      </c>
      <c r="D733" s="3" t="s">
        <v>1635</v>
      </c>
      <c r="E733" s="3" t="s">
        <v>24</v>
      </c>
      <c r="F733" s="2">
        <v>44136</v>
      </c>
      <c r="G733" s="2"/>
      <c r="H733" s="1178" t="s">
        <v>17</v>
      </c>
      <c r="I733" s="1179" t="s">
        <v>18</v>
      </c>
      <c r="J733" s="3" t="s">
        <v>19</v>
      </c>
      <c r="K733" s="3"/>
    </row>
    <row r="734" spans="1:11" ht="57.6" x14ac:dyDescent="0.3">
      <c r="A734" s="3" t="s">
        <v>1636</v>
      </c>
      <c r="B734" s="3" t="str">
        <f>"043738032"</f>
        <v>043738032</v>
      </c>
      <c r="C734" s="3" t="s">
        <v>1637</v>
      </c>
      <c r="D734" s="3" t="s">
        <v>1638</v>
      </c>
      <c r="E734" s="3" t="s">
        <v>1639</v>
      </c>
      <c r="F734" s="2">
        <v>43809</v>
      </c>
      <c r="G734" s="2">
        <v>43921</v>
      </c>
      <c r="H734" s="1180" t="s">
        <v>37</v>
      </c>
      <c r="I734" s="3" t="s">
        <v>526</v>
      </c>
      <c r="J734" s="3" t="s">
        <v>240</v>
      </c>
      <c r="K734" s="3"/>
    </row>
    <row r="735" spans="1:11" ht="43.2" x14ac:dyDescent="0.3">
      <c r="A735" s="3" t="s">
        <v>1640</v>
      </c>
      <c r="B735" s="3" t="str">
        <f>"006774044"</f>
        <v>006774044</v>
      </c>
      <c r="C735" s="3" t="s">
        <v>1641</v>
      </c>
      <c r="D735" s="3" t="s">
        <v>1642</v>
      </c>
      <c r="E735" s="3" t="s">
        <v>161</v>
      </c>
      <c r="F735" s="2">
        <v>44103</v>
      </c>
      <c r="G735" s="2"/>
      <c r="H735" s="1181" t="s">
        <v>37</v>
      </c>
      <c r="I735" s="1182" t="s">
        <v>18</v>
      </c>
      <c r="J735" s="3" t="s">
        <v>19</v>
      </c>
      <c r="K735" s="3"/>
    </row>
    <row r="736" spans="1:11" ht="43.2" x14ac:dyDescent="0.3">
      <c r="A736" s="3" t="s">
        <v>1643</v>
      </c>
      <c r="B736" s="3" t="str">
        <f>"027268010"</f>
        <v>027268010</v>
      </c>
      <c r="C736" s="3" t="s">
        <v>1470</v>
      </c>
      <c r="D736" s="3" t="s">
        <v>1644</v>
      </c>
      <c r="E736" s="3" t="s">
        <v>425</v>
      </c>
      <c r="F736" s="2">
        <v>43678</v>
      </c>
      <c r="G736" s="2">
        <v>44196</v>
      </c>
      <c r="H736" s="1183" t="s">
        <v>17</v>
      </c>
      <c r="I736" s="3" t="s">
        <v>41</v>
      </c>
      <c r="J736" s="3" t="s">
        <v>19</v>
      </c>
      <c r="K736" s="3"/>
    </row>
    <row r="737" spans="1:11" ht="43.2" x14ac:dyDescent="0.3">
      <c r="A737" s="3" t="s">
        <v>1645</v>
      </c>
      <c r="B737" s="3" t="str">
        <f>"039366012"</f>
        <v>039366012</v>
      </c>
      <c r="C737" s="3" t="s">
        <v>1646</v>
      </c>
      <c r="D737" s="3" t="s">
        <v>1647</v>
      </c>
      <c r="E737" s="3" t="s">
        <v>1648</v>
      </c>
      <c r="F737" s="2">
        <v>43965</v>
      </c>
      <c r="G737" s="2"/>
      <c r="H737" s="1184" t="s">
        <v>17</v>
      </c>
      <c r="I737" s="1185" t="s">
        <v>18</v>
      </c>
      <c r="J737" s="3" t="s">
        <v>19</v>
      </c>
      <c r="K737" s="3"/>
    </row>
    <row r="738" spans="1:11" ht="43.2" x14ac:dyDescent="0.3">
      <c r="A738" s="3" t="s">
        <v>1649</v>
      </c>
      <c r="B738" s="3" t="str">
        <f>"034411052"</f>
        <v>034411052</v>
      </c>
      <c r="C738" s="3" t="s">
        <v>1650</v>
      </c>
      <c r="D738" s="3" t="s">
        <v>1651</v>
      </c>
      <c r="E738" s="3" t="s">
        <v>161</v>
      </c>
      <c r="F738" s="2">
        <v>42948</v>
      </c>
      <c r="G738" s="2"/>
      <c r="H738" s="1186" t="s">
        <v>17</v>
      </c>
      <c r="I738" s="1187" t="s">
        <v>18</v>
      </c>
      <c r="J738" s="3" t="s">
        <v>19</v>
      </c>
      <c r="K738" s="3"/>
    </row>
    <row r="739" spans="1:11" ht="43.2" x14ac:dyDescent="0.3">
      <c r="A739" s="3" t="s">
        <v>1652</v>
      </c>
      <c r="B739" s="3" t="str">
        <f>"041358021"</f>
        <v>041358021</v>
      </c>
      <c r="C739" s="3" t="s">
        <v>1653</v>
      </c>
      <c r="D739" s="3" t="s">
        <v>1654</v>
      </c>
      <c r="E739" s="3" t="s">
        <v>1044</v>
      </c>
      <c r="F739" s="2">
        <v>43227</v>
      </c>
      <c r="G739" s="2"/>
      <c r="H739" s="1188" t="s">
        <v>17</v>
      </c>
      <c r="I739" s="1189" t="s">
        <v>32</v>
      </c>
      <c r="J739" s="3" t="s">
        <v>19</v>
      </c>
      <c r="K739" s="3"/>
    </row>
    <row r="740" spans="1:11" ht="43.2" x14ac:dyDescent="0.3">
      <c r="A740" s="3" t="s">
        <v>1655</v>
      </c>
      <c r="B740" s="3" t="str">
        <f>"034312013"</f>
        <v>034312013</v>
      </c>
      <c r="C740" s="3" t="s">
        <v>1656</v>
      </c>
      <c r="D740" s="3" t="s">
        <v>1657</v>
      </c>
      <c r="E740" s="3" t="s">
        <v>1658</v>
      </c>
      <c r="F740" s="2">
        <v>42032</v>
      </c>
      <c r="G740" s="2"/>
      <c r="H740" s="1190" t="s">
        <v>37</v>
      </c>
      <c r="I740" s="1191" t="s">
        <v>18</v>
      </c>
      <c r="J740" s="3" t="s">
        <v>19</v>
      </c>
      <c r="K740" s="3"/>
    </row>
    <row r="741" spans="1:11" ht="100.8" x14ac:dyDescent="0.3">
      <c r="A741" s="3" t="s">
        <v>1659</v>
      </c>
      <c r="B741" s="3" t="str">
        <f>"036167118"</f>
        <v>036167118</v>
      </c>
      <c r="C741" s="3"/>
      <c r="D741" s="3" t="s">
        <v>1660</v>
      </c>
      <c r="E741" s="3" t="s">
        <v>182</v>
      </c>
      <c r="F741" s="2">
        <v>44180</v>
      </c>
      <c r="G741" s="2"/>
      <c r="H741" s="1192" t="s">
        <v>37</v>
      </c>
      <c r="I741" s="1193" t="s">
        <v>18</v>
      </c>
      <c r="J741" s="3" t="s">
        <v>156</v>
      </c>
      <c r="K741" s="3"/>
    </row>
    <row r="742" spans="1:11" ht="43.2" x14ac:dyDescent="0.3">
      <c r="A742" s="3" t="s">
        <v>1661</v>
      </c>
      <c r="B742" s="3" t="str">
        <f>"038049045"</f>
        <v>038049045</v>
      </c>
      <c r="C742" s="3" t="s">
        <v>1450</v>
      </c>
      <c r="D742" s="3" t="s">
        <v>1662</v>
      </c>
      <c r="E742" s="3" t="s">
        <v>425</v>
      </c>
      <c r="F742" s="2">
        <v>44256</v>
      </c>
      <c r="G742" s="2"/>
      <c r="H742" s="1194" t="s">
        <v>37</v>
      </c>
      <c r="I742" s="1195" t="s">
        <v>18</v>
      </c>
      <c r="J742" s="3" t="s">
        <v>19</v>
      </c>
      <c r="K742" s="3"/>
    </row>
    <row r="743" spans="1:11" ht="57.6" x14ac:dyDescent="0.3">
      <c r="A743" s="3" t="s">
        <v>1663</v>
      </c>
      <c r="B743" s="3" t="str">
        <f>"027665013"</f>
        <v>027665013</v>
      </c>
      <c r="C743" s="3" t="s">
        <v>1664</v>
      </c>
      <c r="D743" s="3" t="s">
        <v>1665</v>
      </c>
      <c r="E743" s="3" t="s">
        <v>1666</v>
      </c>
      <c r="F743" s="2">
        <v>44013</v>
      </c>
      <c r="G743" s="2">
        <v>44562</v>
      </c>
      <c r="H743" s="1196" t="s">
        <v>37</v>
      </c>
      <c r="I743" s="3" t="s">
        <v>41</v>
      </c>
      <c r="J743" s="3" t="s">
        <v>156</v>
      </c>
      <c r="K743" s="3"/>
    </row>
    <row r="744" spans="1:11" ht="57.6" x14ac:dyDescent="0.3">
      <c r="A744" s="3" t="s">
        <v>1663</v>
      </c>
      <c r="B744" s="3" t="str">
        <f>"027665025"</f>
        <v>027665025</v>
      </c>
      <c r="C744" s="3" t="s">
        <v>1664</v>
      </c>
      <c r="D744" s="3" t="s">
        <v>1667</v>
      </c>
      <c r="E744" s="3" t="s">
        <v>1666</v>
      </c>
      <c r="F744" s="2">
        <v>43922</v>
      </c>
      <c r="G744" s="2">
        <v>44470</v>
      </c>
      <c r="H744" s="1197" t="s">
        <v>37</v>
      </c>
      <c r="I744" s="3" t="s">
        <v>41</v>
      </c>
      <c r="J744" s="3" t="s">
        <v>156</v>
      </c>
      <c r="K744" s="3"/>
    </row>
    <row r="745" spans="1:11" ht="43.2" x14ac:dyDescent="0.3">
      <c r="A745" s="3" t="s">
        <v>1668</v>
      </c>
      <c r="B745" s="3" t="str">
        <f>"036606010"</f>
        <v>036606010</v>
      </c>
      <c r="C745" s="3" t="s">
        <v>1669</v>
      </c>
      <c r="D745" s="3" t="s">
        <v>350</v>
      </c>
      <c r="E745" s="3" t="s">
        <v>83</v>
      </c>
      <c r="F745" s="2">
        <v>44011</v>
      </c>
      <c r="G745" s="2"/>
      <c r="H745" s="1198" t="s">
        <v>17</v>
      </c>
      <c r="I745" s="1199" t="s">
        <v>18</v>
      </c>
      <c r="J745" s="3" t="s">
        <v>19</v>
      </c>
      <c r="K745" s="3"/>
    </row>
    <row r="746" spans="1:11" ht="43.2" x14ac:dyDescent="0.3">
      <c r="A746" s="3" t="s">
        <v>1670</v>
      </c>
      <c r="B746" s="3" t="str">
        <f>"038326017"</f>
        <v>038326017</v>
      </c>
      <c r="C746" s="3" t="s">
        <v>1671</v>
      </c>
      <c r="D746" s="3" t="s">
        <v>1672</v>
      </c>
      <c r="E746" s="3" t="s">
        <v>53</v>
      </c>
      <c r="F746" s="2">
        <v>42303</v>
      </c>
      <c r="G746" s="2"/>
      <c r="H746" s="1200" t="s">
        <v>17</v>
      </c>
      <c r="I746" s="3" t="s">
        <v>41</v>
      </c>
      <c r="J746" s="3" t="s">
        <v>19</v>
      </c>
      <c r="K746" s="3"/>
    </row>
    <row r="747" spans="1:11" ht="43.2" x14ac:dyDescent="0.3">
      <c r="A747" s="3" t="s">
        <v>1673</v>
      </c>
      <c r="B747" s="3" t="str">
        <f>"038012112"</f>
        <v>038012112</v>
      </c>
      <c r="C747" s="3" t="s">
        <v>1674</v>
      </c>
      <c r="D747" s="3" t="s">
        <v>1675</v>
      </c>
      <c r="E747" s="3" t="s">
        <v>388</v>
      </c>
      <c r="F747" s="2">
        <v>44103</v>
      </c>
      <c r="G747" s="2"/>
      <c r="H747" s="1201" t="s">
        <v>17</v>
      </c>
      <c r="I747" s="3" t="s">
        <v>41</v>
      </c>
      <c r="J747" s="3" t="s">
        <v>19</v>
      </c>
      <c r="K747" s="3"/>
    </row>
    <row r="748" spans="1:11" ht="43.2" x14ac:dyDescent="0.3">
      <c r="A748" s="3" t="s">
        <v>1676</v>
      </c>
      <c r="B748" s="3" t="str">
        <f>"037486115"</f>
        <v>037486115</v>
      </c>
      <c r="C748" s="3" t="s">
        <v>1674</v>
      </c>
      <c r="D748" s="3" t="s">
        <v>1675</v>
      </c>
      <c r="E748" s="3" t="s">
        <v>107</v>
      </c>
      <c r="F748" s="2">
        <v>44101</v>
      </c>
      <c r="G748" s="2"/>
      <c r="H748" s="1202" t="s">
        <v>17</v>
      </c>
      <c r="I748" s="3" t="s">
        <v>41</v>
      </c>
      <c r="J748" s="3" t="s">
        <v>19</v>
      </c>
      <c r="K748" s="3"/>
    </row>
    <row r="749" spans="1:11" ht="43.2" x14ac:dyDescent="0.3">
      <c r="A749" s="3" t="s">
        <v>1677</v>
      </c>
      <c r="B749" s="3" t="str">
        <f>"041693060"</f>
        <v>041693060</v>
      </c>
      <c r="C749" s="3" t="s">
        <v>1669</v>
      </c>
      <c r="D749" s="3" t="s">
        <v>1678</v>
      </c>
      <c r="E749" s="3" t="s">
        <v>1679</v>
      </c>
      <c r="F749" s="2">
        <v>44105</v>
      </c>
      <c r="G749" s="2"/>
      <c r="H749" s="1203" t="s">
        <v>17</v>
      </c>
      <c r="I749" s="3" t="s">
        <v>41</v>
      </c>
      <c r="J749" s="3" t="s">
        <v>19</v>
      </c>
      <c r="K749" s="3"/>
    </row>
    <row r="750" spans="1:11" ht="72" x14ac:dyDescent="0.3">
      <c r="A750" s="3" t="s">
        <v>1680</v>
      </c>
      <c r="B750" s="3" t="str">
        <f>"027066099"</f>
        <v>027066099</v>
      </c>
      <c r="C750" s="3" t="s">
        <v>1681</v>
      </c>
      <c r="D750" s="3" t="s">
        <v>1682</v>
      </c>
      <c r="E750" s="3" t="s">
        <v>754</v>
      </c>
      <c r="F750" s="2">
        <v>43739</v>
      </c>
      <c r="G750" s="2"/>
      <c r="H750" s="1204" t="s">
        <v>37</v>
      </c>
      <c r="I750" s="1205" t="s">
        <v>18</v>
      </c>
      <c r="J750" s="3" t="s">
        <v>156</v>
      </c>
      <c r="K750" s="3"/>
    </row>
    <row r="751" spans="1:11" ht="57.6" x14ac:dyDescent="0.3">
      <c r="A751" s="3" t="s">
        <v>1683</v>
      </c>
      <c r="B751" s="3" t="str">
        <f>"026653079"</f>
        <v>026653079</v>
      </c>
      <c r="C751" s="3" t="s">
        <v>1684</v>
      </c>
      <c r="D751" s="3" t="s">
        <v>1685</v>
      </c>
      <c r="E751" s="3" t="s">
        <v>1686</v>
      </c>
      <c r="F751" s="2">
        <v>44075</v>
      </c>
      <c r="G751" s="2">
        <v>44196</v>
      </c>
      <c r="H751" s="1206" t="s">
        <v>37</v>
      </c>
      <c r="I751" s="3" t="s">
        <v>178</v>
      </c>
      <c r="J751" s="3" t="s">
        <v>156</v>
      </c>
      <c r="K751" s="3"/>
    </row>
    <row r="752" spans="1:11" ht="57.6" x14ac:dyDescent="0.3">
      <c r="A752" s="3" t="s">
        <v>1683</v>
      </c>
      <c r="B752" s="3" t="str">
        <f>"026653042"</f>
        <v>026653042</v>
      </c>
      <c r="C752" s="3" t="s">
        <v>1684</v>
      </c>
      <c r="D752" s="3" t="s">
        <v>1687</v>
      </c>
      <c r="E752" s="3" t="s">
        <v>1686</v>
      </c>
      <c r="F752" s="2">
        <v>42927</v>
      </c>
      <c r="G752" s="2"/>
      <c r="H752" s="1207" t="s">
        <v>17</v>
      </c>
      <c r="I752" s="1208" t="s">
        <v>18</v>
      </c>
      <c r="J752" s="3" t="s">
        <v>156</v>
      </c>
      <c r="K752" s="3"/>
    </row>
    <row r="753" spans="1:11" ht="57.6" x14ac:dyDescent="0.3">
      <c r="A753" s="3" t="s">
        <v>1688</v>
      </c>
      <c r="B753" s="3" t="str">
        <f>"045675028"</f>
        <v>045675028</v>
      </c>
      <c r="C753" s="3" t="s">
        <v>1689</v>
      </c>
      <c r="D753" s="3" t="s">
        <v>1690</v>
      </c>
      <c r="E753" s="3" t="s">
        <v>16</v>
      </c>
      <c r="F753" s="2">
        <v>43983</v>
      </c>
      <c r="G753" s="2">
        <v>44196</v>
      </c>
      <c r="H753" s="1209" t="s">
        <v>17</v>
      </c>
      <c r="I753" s="3" t="s">
        <v>41</v>
      </c>
      <c r="J753" s="3" t="s">
        <v>19</v>
      </c>
      <c r="K753" s="3"/>
    </row>
    <row r="754" spans="1:11" ht="57.6" x14ac:dyDescent="0.3">
      <c r="A754" s="3" t="s">
        <v>1691</v>
      </c>
      <c r="B754" s="3" t="str">
        <f>"045065036"</f>
        <v>045065036</v>
      </c>
      <c r="C754" s="3" t="s">
        <v>1689</v>
      </c>
      <c r="D754" s="3" t="s">
        <v>1692</v>
      </c>
      <c r="E754" s="3" t="s">
        <v>27</v>
      </c>
      <c r="F754" s="2">
        <v>44075</v>
      </c>
      <c r="G754" s="2"/>
      <c r="H754" s="1210" t="s">
        <v>17</v>
      </c>
      <c r="I754" s="1211" t="s">
        <v>18</v>
      </c>
      <c r="J754" s="3" t="s">
        <v>19</v>
      </c>
      <c r="K754" s="3"/>
    </row>
    <row r="755" spans="1:11" ht="57.6" x14ac:dyDescent="0.3">
      <c r="A755" s="3" t="s">
        <v>1691</v>
      </c>
      <c r="B755" s="3" t="str">
        <f>"045065152"</f>
        <v>045065152</v>
      </c>
      <c r="C755" s="3" t="s">
        <v>1689</v>
      </c>
      <c r="D755" s="3" t="s">
        <v>1693</v>
      </c>
      <c r="E755" s="3" t="s">
        <v>27</v>
      </c>
      <c r="F755" s="2">
        <v>44105</v>
      </c>
      <c r="G755" s="2"/>
      <c r="H755" s="1212" t="s">
        <v>17</v>
      </c>
      <c r="I755" s="1213" t="s">
        <v>18</v>
      </c>
      <c r="J755" s="3" t="s">
        <v>19</v>
      </c>
      <c r="K755" s="3"/>
    </row>
    <row r="756" spans="1:11" ht="43.2" x14ac:dyDescent="0.3">
      <c r="A756" s="3" t="s">
        <v>1694</v>
      </c>
      <c r="B756" s="3" t="str">
        <f>"013046091"</f>
        <v>013046091</v>
      </c>
      <c r="C756" s="3" t="s">
        <v>1695</v>
      </c>
      <c r="D756" s="3" t="s">
        <v>1696</v>
      </c>
      <c r="E756" s="3" t="s">
        <v>161</v>
      </c>
      <c r="F756" s="2">
        <v>44165</v>
      </c>
      <c r="G756" s="2"/>
      <c r="H756" s="1214" t="s">
        <v>37</v>
      </c>
      <c r="I756" s="1215" t="s">
        <v>18</v>
      </c>
      <c r="J756" s="3" t="s">
        <v>19</v>
      </c>
      <c r="K756" s="3"/>
    </row>
    <row r="757" spans="1:11" ht="57.6" x14ac:dyDescent="0.3">
      <c r="A757" s="3" t="s">
        <v>1697</v>
      </c>
      <c r="B757" s="3" t="str">
        <f>"019350026"</f>
        <v>019350026</v>
      </c>
      <c r="C757" s="3" t="s">
        <v>1698</v>
      </c>
      <c r="D757" s="3" t="s">
        <v>1699</v>
      </c>
      <c r="E757" s="3" t="s">
        <v>1700</v>
      </c>
      <c r="F757" s="2">
        <v>43617</v>
      </c>
      <c r="G757" s="2">
        <v>43861</v>
      </c>
      <c r="H757" s="1216" t="s">
        <v>37</v>
      </c>
      <c r="I757" s="3" t="s">
        <v>41</v>
      </c>
      <c r="J757" s="3" t="s">
        <v>156</v>
      </c>
      <c r="K757" s="3"/>
    </row>
    <row r="758" spans="1:11" ht="43.2" x14ac:dyDescent="0.3">
      <c r="A758" s="3" t="s">
        <v>1701</v>
      </c>
      <c r="B758" s="3" t="str">
        <f>"042238030"</f>
        <v>042238030</v>
      </c>
      <c r="C758" s="3" t="s">
        <v>1702</v>
      </c>
      <c r="D758" s="3" t="s">
        <v>1703</v>
      </c>
      <c r="E758" s="3" t="s">
        <v>481</v>
      </c>
      <c r="F758" s="2">
        <v>42879</v>
      </c>
      <c r="G758" s="2"/>
      <c r="H758" s="1217" t="s">
        <v>17</v>
      </c>
      <c r="I758" s="1218" t="s">
        <v>32</v>
      </c>
      <c r="J758" s="3" t="s">
        <v>19</v>
      </c>
      <c r="K758" s="3"/>
    </row>
    <row r="759" spans="1:11" ht="43.2" x14ac:dyDescent="0.3">
      <c r="A759" s="3" t="s">
        <v>1701</v>
      </c>
      <c r="B759" s="3" t="str">
        <f>"042238093"</f>
        <v>042238093</v>
      </c>
      <c r="C759" s="3" t="s">
        <v>1702</v>
      </c>
      <c r="D759" s="3" t="s">
        <v>1704</v>
      </c>
      <c r="E759" s="3" t="s">
        <v>481</v>
      </c>
      <c r="F759" s="2">
        <v>42879</v>
      </c>
      <c r="G759" s="2"/>
      <c r="H759" s="1219" t="s">
        <v>17</v>
      </c>
      <c r="I759" s="1220" t="s">
        <v>32</v>
      </c>
      <c r="J759" s="3" t="s">
        <v>19</v>
      </c>
      <c r="K759" s="3"/>
    </row>
    <row r="760" spans="1:11" ht="43.2" x14ac:dyDescent="0.3">
      <c r="A760" s="3" t="s">
        <v>1701</v>
      </c>
      <c r="B760" s="3" t="str">
        <f>"042238156"</f>
        <v>042238156</v>
      </c>
      <c r="C760" s="3" t="s">
        <v>1702</v>
      </c>
      <c r="D760" s="3" t="s">
        <v>1705</v>
      </c>
      <c r="E760" s="3" t="s">
        <v>481</v>
      </c>
      <c r="F760" s="2">
        <v>42879</v>
      </c>
      <c r="G760" s="2"/>
      <c r="H760" s="1221" t="s">
        <v>17</v>
      </c>
      <c r="I760" s="1222" t="s">
        <v>32</v>
      </c>
      <c r="J760" s="3" t="s">
        <v>19</v>
      </c>
      <c r="K760" s="3"/>
    </row>
    <row r="761" spans="1:11" ht="43.2" x14ac:dyDescent="0.3">
      <c r="A761" s="3" t="s">
        <v>1706</v>
      </c>
      <c r="B761" s="3" t="str">
        <f>"029119017"</f>
        <v>029119017</v>
      </c>
      <c r="C761" s="3" t="s">
        <v>1707</v>
      </c>
      <c r="D761" s="3" t="s">
        <v>1708</v>
      </c>
      <c r="E761" s="3" t="s">
        <v>456</v>
      </c>
      <c r="F761" s="2">
        <v>44135</v>
      </c>
      <c r="G761" s="2"/>
      <c r="H761" s="1223" t="s">
        <v>37</v>
      </c>
      <c r="I761" s="1224" t="s">
        <v>18</v>
      </c>
      <c r="J761" s="3" t="s">
        <v>19</v>
      </c>
      <c r="K761" s="3"/>
    </row>
    <row r="762" spans="1:11" ht="43.2" x14ac:dyDescent="0.3">
      <c r="A762" s="3" t="s">
        <v>1706</v>
      </c>
      <c r="B762" s="3" t="str">
        <f>"029119029"</f>
        <v>029119029</v>
      </c>
      <c r="C762" s="3" t="s">
        <v>1707</v>
      </c>
      <c r="D762" s="3" t="s">
        <v>1709</v>
      </c>
      <c r="E762" s="3" t="s">
        <v>456</v>
      </c>
      <c r="F762" s="2">
        <v>43252</v>
      </c>
      <c r="G762" s="2"/>
      <c r="H762" s="1225" t="s">
        <v>17</v>
      </c>
      <c r="I762" s="1226" t="s">
        <v>18</v>
      </c>
      <c r="J762" s="3" t="s">
        <v>19</v>
      </c>
      <c r="K762" s="3"/>
    </row>
    <row r="763" spans="1:11" ht="43.2" x14ac:dyDescent="0.3">
      <c r="A763" s="3" t="s">
        <v>1706</v>
      </c>
      <c r="B763" s="3" t="str">
        <f>"029119031"</f>
        <v>029119031</v>
      </c>
      <c r="C763" s="3" t="s">
        <v>1707</v>
      </c>
      <c r="D763" s="3" t="s">
        <v>1710</v>
      </c>
      <c r="E763" s="3" t="s">
        <v>456</v>
      </c>
      <c r="F763" s="2">
        <v>43272</v>
      </c>
      <c r="G763" s="2"/>
      <c r="H763" s="1227" t="s">
        <v>37</v>
      </c>
      <c r="I763" s="1228" t="s">
        <v>18</v>
      </c>
      <c r="J763" s="3" t="s">
        <v>19</v>
      </c>
      <c r="K763" s="3"/>
    </row>
    <row r="764" spans="1:11" ht="43.2" x14ac:dyDescent="0.3">
      <c r="A764" s="3" t="s">
        <v>1711</v>
      </c>
      <c r="B764" s="3" t="str">
        <f>"024409118"</f>
        <v>024409118</v>
      </c>
      <c r="C764" s="3" t="s">
        <v>1707</v>
      </c>
      <c r="D764" s="3" t="s">
        <v>1712</v>
      </c>
      <c r="E764" s="3" t="s">
        <v>456</v>
      </c>
      <c r="F764" s="2">
        <v>43101</v>
      </c>
      <c r="G764" s="2"/>
      <c r="H764" s="1229" t="s">
        <v>37</v>
      </c>
      <c r="I764" s="1230" t="s">
        <v>18</v>
      </c>
      <c r="J764" s="3" t="s">
        <v>19</v>
      </c>
      <c r="K764" s="3"/>
    </row>
    <row r="765" spans="1:11" ht="43.2" x14ac:dyDescent="0.3">
      <c r="A765" s="3" t="s">
        <v>1713</v>
      </c>
      <c r="B765" s="3" t="str">
        <f>"013092022"</f>
        <v>013092022</v>
      </c>
      <c r="C765" s="3" t="s">
        <v>1714</v>
      </c>
      <c r="D765" s="3" t="s">
        <v>1715</v>
      </c>
      <c r="E765" s="3" t="s">
        <v>412</v>
      </c>
      <c r="F765" s="2">
        <v>43496</v>
      </c>
      <c r="G765" s="2">
        <v>44316</v>
      </c>
      <c r="H765" s="1231" t="s">
        <v>37</v>
      </c>
      <c r="I765" s="1232" t="s">
        <v>32</v>
      </c>
      <c r="J765" s="3" t="s">
        <v>19</v>
      </c>
      <c r="K765" s="3"/>
    </row>
    <row r="766" spans="1:11" ht="100.8" x14ac:dyDescent="0.3">
      <c r="A766" s="3" t="s">
        <v>1716</v>
      </c>
      <c r="B766" s="3" t="str">
        <f>"006275010"</f>
        <v>006275010</v>
      </c>
      <c r="C766" s="3" t="s">
        <v>1717</v>
      </c>
      <c r="D766" s="3" t="s">
        <v>1718</v>
      </c>
      <c r="E766" s="3" t="s">
        <v>27</v>
      </c>
      <c r="F766" s="2">
        <v>43966</v>
      </c>
      <c r="G766" s="2">
        <v>44377</v>
      </c>
      <c r="H766" s="1233" t="s">
        <v>37</v>
      </c>
      <c r="I766" s="3" t="s">
        <v>41</v>
      </c>
      <c r="J766" s="3" t="s">
        <v>19</v>
      </c>
      <c r="K766" s="3" t="s">
        <v>1719</v>
      </c>
    </row>
    <row r="767" spans="1:11" ht="43.2" x14ac:dyDescent="0.3">
      <c r="A767" s="3" t="s">
        <v>1720</v>
      </c>
      <c r="B767" s="3" t="str">
        <f>"038261044"</f>
        <v>038261044</v>
      </c>
      <c r="C767" s="3" t="s">
        <v>1721</v>
      </c>
      <c r="D767" s="3" t="s">
        <v>1722</v>
      </c>
      <c r="E767" s="3" t="s">
        <v>659</v>
      </c>
      <c r="F767" s="2">
        <v>42075</v>
      </c>
      <c r="G767" s="2"/>
      <c r="H767" s="1234" t="s">
        <v>17</v>
      </c>
      <c r="I767" s="1235" t="s">
        <v>18</v>
      </c>
      <c r="J767" s="3" t="s">
        <v>19</v>
      </c>
      <c r="K767" s="3"/>
    </row>
    <row r="768" spans="1:11" ht="43.2" x14ac:dyDescent="0.3">
      <c r="A768" s="3" t="s">
        <v>1720</v>
      </c>
      <c r="B768" s="3" t="str">
        <f>"038261020"</f>
        <v>038261020</v>
      </c>
      <c r="C768" s="3" t="s">
        <v>1721</v>
      </c>
      <c r="D768" s="3" t="s">
        <v>1723</v>
      </c>
      <c r="E768" s="3" t="s">
        <v>659</v>
      </c>
      <c r="F768" s="2">
        <v>42075</v>
      </c>
      <c r="G768" s="2"/>
      <c r="H768" s="1236" t="s">
        <v>17</v>
      </c>
      <c r="I768" s="1237" t="s">
        <v>18</v>
      </c>
      <c r="J768" s="3" t="s">
        <v>19</v>
      </c>
      <c r="K768" s="3"/>
    </row>
    <row r="769" spans="1:11" ht="43.2" x14ac:dyDescent="0.3">
      <c r="A769" s="3" t="s">
        <v>1720</v>
      </c>
      <c r="B769" s="3" t="str">
        <f>"038261107"</f>
        <v>038261107</v>
      </c>
      <c r="C769" s="3" t="s">
        <v>1721</v>
      </c>
      <c r="D769" s="3" t="s">
        <v>1724</v>
      </c>
      <c r="E769" s="3" t="s">
        <v>659</v>
      </c>
      <c r="F769" s="2">
        <v>42075</v>
      </c>
      <c r="G769" s="2"/>
      <c r="H769" s="1238" t="s">
        <v>17</v>
      </c>
      <c r="I769" s="1239" t="s">
        <v>18</v>
      </c>
      <c r="J769" s="3" t="s">
        <v>19</v>
      </c>
      <c r="K769" s="3"/>
    </row>
    <row r="770" spans="1:11" ht="43.2" x14ac:dyDescent="0.3">
      <c r="A770" s="3" t="s">
        <v>1720</v>
      </c>
      <c r="B770" s="3" t="str">
        <f>"038261083"</f>
        <v>038261083</v>
      </c>
      <c r="C770" s="3" t="s">
        <v>1721</v>
      </c>
      <c r="D770" s="3" t="s">
        <v>1725</v>
      </c>
      <c r="E770" s="3" t="s">
        <v>659</v>
      </c>
      <c r="F770" s="2">
        <v>42160</v>
      </c>
      <c r="G770" s="2"/>
      <c r="H770" s="1240" t="s">
        <v>17</v>
      </c>
      <c r="I770" s="1241" t="s">
        <v>18</v>
      </c>
      <c r="J770" s="3" t="s">
        <v>19</v>
      </c>
      <c r="K770" s="3"/>
    </row>
    <row r="771" spans="1:11" ht="57.6" x14ac:dyDescent="0.3">
      <c r="A771" s="3" t="s">
        <v>1720</v>
      </c>
      <c r="B771" s="3" t="str">
        <f>"038261160"</f>
        <v>038261160</v>
      </c>
      <c r="C771" s="3" t="s">
        <v>1721</v>
      </c>
      <c r="D771" s="3" t="s">
        <v>1726</v>
      </c>
      <c r="E771" s="3" t="s">
        <v>659</v>
      </c>
      <c r="F771" s="2">
        <v>43403</v>
      </c>
      <c r="G771" s="2"/>
      <c r="H771" s="1242" t="s">
        <v>17</v>
      </c>
      <c r="I771" s="1243" t="s">
        <v>18</v>
      </c>
      <c r="J771" s="3" t="s">
        <v>19</v>
      </c>
      <c r="K771" s="3"/>
    </row>
    <row r="772" spans="1:11" ht="43.2" x14ac:dyDescent="0.3">
      <c r="A772" s="3" t="s">
        <v>1727</v>
      </c>
      <c r="B772" s="3" t="str">
        <f>"029000066"</f>
        <v>029000066</v>
      </c>
      <c r="C772" s="3" t="s">
        <v>1728</v>
      </c>
      <c r="D772" s="3" t="s">
        <v>1729</v>
      </c>
      <c r="E772" s="3" t="s">
        <v>191</v>
      </c>
      <c r="F772" s="2">
        <v>43201</v>
      </c>
      <c r="G772" s="2"/>
      <c r="H772" s="1244" t="s">
        <v>17</v>
      </c>
      <c r="I772" s="1245" t="s">
        <v>18</v>
      </c>
      <c r="J772" s="3" t="s">
        <v>19</v>
      </c>
      <c r="K772" s="3"/>
    </row>
    <row r="773" spans="1:11" ht="43.2" x14ac:dyDescent="0.3">
      <c r="A773" s="3" t="s">
        <v>1730</v>
      </c>
      <c r="B773" s="3" t="str">
        <f>"039244013"</f>
        <v>039244013</v>
      </c>
      <c r="C773" s="3" t="s">
        <v>1731</v>
      </c>
      <c r="D773" s="3" t="s">
        <v>1732</v>
      </c>
      <c r="E773" s="3" t="s">
        <v>16</v>
      </c>
      <c r="F773" s="2">
        <v>44044</v>
      </c>
      <c r="G773" s="2">
        <v>44227</v>
      </c>
      <c r="H773" s="1246" t="s">
        <v>17</v>
      </c>
      <c r="I773" s="3" t="s">
        <v>41</v>
      </c>
      <c r="J773" s="3" t="s">
        <v>19</v>
      </c>
      <c r="K773" s="3"/>
    </row>
    <row r="774" spans="1:11" ht="43.2" x14ac:dyDescent="0.3">
      <c r="A774" s="3" t="s">
        <v>1730</v>
      </c>
      <c r="B774" s="3" t="str">
        <f>"039244037"</f>
        <v>039244037</v>
      </c>
      <c r="C774" s="3" t="s">
        <v>1731</v>
      </c>
      <c r="D774" s="3" t="s">
        <v>1733</v>
      </c>
      <c r="E774" s="3" t="s">
        <v>16</v>
      </c>
      <c r="F774" s="2">
        <v>43797</v>
      </c>
      <c r="G774" s="2">
        <v>44196</v>
      </c>
      <c r="H774" s="1247" t="s">
        <v>17</v>
      </c>
      <c r="I774" s="3" t="s">
        <v>41</v>
      </c>
      <c r="J774" s="3" t="s">
        <v>240</v>
      </c>
      <c r="K774" s="3"/>
    </row>
    <row r="775" spans="1:11" ht="57.6" x14ac:dyDescent="0.3">
      <c r="A775" s="3" t="s">
        <v>1730</v>
      </c>
      <c r="B775" s="3" t="str">
        <f>"039244049"</f>
        <v>039244049</v>
      </c>
      <c r="C775" s="3" t="s">
        <v>1731</v>
      </c>
      <c r="D775" s="3" t="s">
        <v>1734</v>
      </c>
      <c r="E775" s="3" t="s">
        <v>16</v>
      </c>
      <c r="F775" s="2">
        <v>44065</v>
      </c>
      <c r="G775" s="2">
        <v>44255</v>
      </c>
      <c r="H775" s="1248" t="s">
        <v>17</v>
      </c>
      <c r="I775" s="3" t="s">
        <v>41</v>
      </c>
      <c r="J775" s="3" t="s">
        <v>19</v>
      </c>
      <c r="K775" s="3"/>
    </row>
    <row r="776" spans="1:11" ht="43.2" x14ac:dyDescent="0.3">
      <c r="A776" s="3" t="s">
        <v>1735</v>
      </c>
      <c r="B776" s="3" t="str">
        <f>"039000056"</f>
        <v>039000056</v>
      </c>
      <c r="C776" s="3" t="s">
        <v>1731</v>
      </c>
      <c r="D776" s="3" t="s">
        <v>1736</v>
      </c>
      <c r="E776" s="3" t="s">
        <v>27</v>
      </c>
      <c r="F776" s="2">
        <v>44075</v>
      </c>
      <c r="G776" s="2">
        <v>44227</v>
      </c>
      <c r="H776" s="1249" t="s">
        <v>17</v>
      </c>
      <c r="I776" s="3" t="s">
        <v>152</v>
      </c>
      <c r="J776" s="3" t="s">
        <v>19</v>
      </c>
      <c r="K776" s="3"/>
    </row>
    <row r="777" spans="1:11" ht="43.2" x14ac:dyDescent="0.3">
      <c r="A777" s="3" t="s">
        <v>1735</v>
      </c>
      <c r="B777" s="3" t="str">
        <f>"039000017"</f>
        <v>039000017</v>
      </c>
      <c r="C777" s="3" t="s">
        <v>1731</v>
      </c>
      <c r="D777" s="3" t="s">
        <v>1737</v>
      </c>
      <c r="E777" s="3" t="s">
        <v>27</v>
      </c>
      <c r="F777" s="2">
        <v>44129</v>
      </c>
      <c r="G777" s="2">
        <v>44196</v>
      </c>
      <c r="H777" s="1250" t="s">
        <v>17</v>
      </c>
      <c r="I777" s="3" t="s">
        <v>178</v>
      </c>
      <c r="J777" s="3" t="s">
        <v>19</v>
      </c>
      <c r="K777" s="3"/>
    </row>
    <row r="778" spans="1:11" ht="43.2" x14ac:dyDescent="0.3">
      <c r="A778" s="3" t="s">
        <v>1735</v>
      </c>
      <c r="B778" s="3" t="str">
        <f>"039000031"</f>
        <v>039000031</v>
      </c>
      <c r="C778" s="3" t="s">
        <v>1731</v>
      </c>
      <c r="D778" s="3" t="s">
        <v>1738</v>
      </c>
      <c r="E778" s="3" t="s">
        <v>27</v>
      </c>
      <c r="F778" s="2">
        <v>43677</v>
      </c>
      <c r="G778" s="2">
        <v>44561</v>
      </c>
      <c r="H778" s="1251" t="s">
        <v>17</v>
      </c>
      <c r="I778" s="3" t="s">
        <v>41</v>
      </c>
      <c r="J778" s="3" t="s">
        <v>19</v>
      </c>
      <c r="K778" s="3"/>
    </row>
    <row r="779" spans="1:11" ht="86.4" x14ac:dyDescent="0.3">
      <c r="A779" s="3" t="s">
        <v>1739</v>
      </c>
      <c r="B779" s="3" t="str">
        <f>"039474097"</f>
        <v>039474097</v>
      </c>
      <c r="C779" s="3" t="s">
        <v>1740</v>
      </c>
      <c r="D779" s="3" t="s">
        <v>1741</v>
      </c>
      <c r="E779" s="3" t="s">
        <v>103</v>
      </c>
      <c r="F779" s="2">
        <v>41518</v>
      </c>
      <c r="G779" s="2"/>
      <c r="H779" s="1252" t="s">
        <v>17</v>
      </c>
      <c r="I779" s="1253" t="s">
        <v>18</v>
      </c>
      <c r="J779" s="3" t="s">
        <v>19</v>
      </c>
      <c r="K779" s="3"/>
    </row>
    <row r="780" spans="1:11" ht="86.4" x14ac:dyDescent="0.3">
      <c r="A780" s="3" t="s">
        <v>1739</v>
      </c>
      <c r="B780" s="3" t="str">
        <f>"039474109"</f>
        <v>039474109</v>
      </c>
      <c r="C780" s="3" t="s">
        <v>1740</v>
      </c>
      <c r="D780" s="3" t="s">
        <v>1742</v>
      </c>
      <c r="E780" s="3" t="s">
        <v>103</v>
      </c>
      <c r="F780" s="2">
        <v>42826</v>
      </c>
      <c r="G780" s="2"/>
      <c r="H780" s="1254" t="s">
        <v>17</v>
      </c>
      <c r="I780" s="1255" t="s">
        <v>18</v>
      </c>
      <c r="J780" s="3" t="s">
        <v>19</v>
      </c>
      <c r="K780" s="3"/>
    </row>
    <row r="781" spans="1:11" ht="86.4" x14ac:dyDescent="0.3">
      <c r="A781" s="3" t="s">
        <v>1739</v>
      </c>
      <c r="B781" s="3" t="str">
        <f>"039474085"</f>
        <v>039474085</v>
      </c>
      <c r="C781" s="3" t="s">
        <v>1740</v>
      </c>
      <c r="D781" s="3" t="s">
        <v>1743</v>
      </c>
      <c r="E781" s="3" t="s">
        <v>103</v>
      </c>
      <c r="F781" s="2">
        <v>42736</v>
      </c>
      <c r="G781" s="2"/>
      <c r="H781" s="1256" t="s">
        <v>17</v>
      </c>
      <c r="I781" s="1257" t="s">
        <v>18</v>
      </c>
      <c r="J781" s="3" t="s">
        <v>19</v>
      </c>
      <c r="K781" s="3"/>
    </row>
    <row r="782" spans="1:11" ht="86.4" x14ac:dyDescent="0.3">
      <c r="A782" s="3" t="s">
        <v>1739</v>
      </c>
      <c r="B782" s="3" t="str">
        <f>"039474073"</f>
        <v>039474073</v>
      </c>
      <c r="C782" s="3" t="s">
        <v>1740</v>
      </c>
      <c r="D782" s="3" t="s">
        <v>1744</v>
      </c>
      <c r="E782" s="3" t="s">
        <v>103</v>
      </c>
      <c r="F782" s="2">
        <v>41426</v>
      </c>
      <c r="G782" s="2"/>
      <c r="H782" s="1258" t="s">
        <v>17</v>
      </c>
      <c r="I782" s="1259" t="s">
        <v>18</v>
      </c>
      <c r="J782" s="3" t="s">
        <v>19</v>
      </c>
      <c r="K782" s="3"/>
    </row>
    <row r="783" spans="1:11" ht="86.4" x14ac:dyDescent="0.3">
      <c r="A783" s="3" t="s">
        <v>1739</v>
      </c>
      <c r="B783" s="3" t="str">
        <f>"039474236"</f>
        <v>039474236</v>
      </c>
      <c r="C783" s="3" t="s">
        <v>1740</v>
      </c>
      <c r="D783" s="3" t="s">
        <v>1745</v>
      </c>
      <c r="E783" s="3" t="s">
        <v>103</v>
      </c>
      <c r="F783" s="2">
        <v>41426</v>
      </c>
      <c r="G783" s="2"/>
      <c r="H783" s="1260" t="s">
        <v>17</v>
      </c>
      <c r="I783" s="1261" t="s">
        <v>18</v>
      </c>
      <c r="J783" s="3" t="s">
        <v>19</v>
      </c>
      <c r="K783" s="3"/>
    </row>
    <row r="784" spans="1:11" ht="86.4" x14ac:dyDescent="0.3">
      <c r="A784" s="3" t="s">
        <v>1739</v>
      </c>
      <c r="B784" s="3" t="str">
        <f>"039474248"</f>
        <v>039474248</v>
      </c>
      <c r="C784" s="3" t="s">
        <v>1740</v>
      </c>
      <c r="D784" s="3" t="s">
        <v>1746</v>
      </c>
      <c r="E784" s="3" t="s">
        <v>103</v>
      </c>
      <c r="F784" s="2">
        <v>42856</v>
      </c>
      <c r="G784" s="2"/>
      <c r="H784" s="1262" t="s">
        <v>17</v>
      </c>
      <c r="I784" s="1263" t="s">
        <v>18</v>
      </c>
      <c r="J784" s="3" t="s">
        <v>19</v>
      </c>
      <c r="K784" s="3"/>
    </row>
    <row r="785" spans="1:11" ht="86.4" x14ac:dyDescent="0.3">
      <c r="A785" s="3" t="s">
        <v>1739</v>
      </c>
      <c r="B785" s="3" t="str">
        <f>"039474059"</f>
        <v>039474059</v>
      </c>
      <c r="C785" s="3" t="s">
        <v>1740</v>
      </c>
      <c r="D785" s="3" t="s">
        <v>1747</v>
      </c>
      <c r="E785" s="3" t="s">
        <v>103</v>
      </c>
      <c r="F785" s="2">
        <v>41518</v>
      </c>
      <c r="G785" s="2"/>
      <c r="H785" s="1264" t="s">
        <v>17</v>
      </c>
      <c r="I785" s="1265" t="s">
        <v>18</v>
      </c>
      <c r="J785" s="3" t="s">
        <v>19</v>
      </c>
      <c r="K785" s="3"/>
    </row>
    <row r="786" spans="1:11" ht="86.4" x14ac:dyDescent="0.3">
      <c r="A786" s="3" t="s">
        <v>1739</v>
      </c>
      <c r="B786" s="3" t="str">
        <f>"039474061"</f>
        <v>039474061</v>
      </c>
      <c r="C786" s="3" t="s">
        <v>1740</v>
      </c>
      <c r="D786" s="3" t="s">
        <v>1748</v>
      </c>
      <c r="E786" s="3" t="s">
        <v>103</v>
      </c>
      <c r="F786" s="2">
        <v>42826</v>
      </c>
      <c r="G786" s="2"/>
      <c r="H786" s="1266" t="s">
        <v>17</v>
      </c>
      <c r="I786" s="1267" t="s">
        <v>18</v>
      </c>
      <c r="J786" s="3" t="s">
        <v>19</v>
      </c>
      <c r="K786" s="3"/>
    </row>
    <row r="787" spans="1:11" ht="86.4" x14ac:dyDescent="0.3">
      <c r="A787" s="3" t="s">
        <v>1739</v>
      </c>
      <c r="B787" s="3" t="str">
        <f>"039474174"</f>
        <v>039474174</v>
      </c>
      <c r="C787" s="3" t="s">
        <v>1740</v>
      </c>
      <c r="D787" s="3" t="s">
        <v>1749</v>
      </c>
      <c r="E787" s="3" t="s">
        <v>103</v>
      </c>
      <c r="F787" s="2">
        <v>41426</v>
      </c>
      <c r="G787" s="2"/>
      <c r="H787" s="1268" t="s">
        <v>17</v>
      </c>
      <c r="I787" s="1269" t="s">
        <v>18</v>
      </c>
      <c r="J787" s="3" t="s">
        <v>19</v>
      </c>
      <c r="K787" s="3"/>
    </row>
    <row r="788" spans="1:11" ht="86.4" x14ac:dyDescent="0.3">
      <c r="A788" s="3" t="s">
        <v>1739</v>
      </c>
      <c r="B788" s="3" t="str">
        <f>"039474186"</f>
        <v>039474186</v>
      </c>
      <c r="C788" s="3" t="s">
        <v>1740</v>
      </c>
      <c r="D788" s="3" t="s">
        <v>1750</v>
      </c>
      <c r="E788" s="3" t="s">
        <v>103</v>
      </c>
      <c r="F788" s="2">
        <v>42795</v>
      </c>
      <c r="G788" s="2"/>
      <c r="H788" s="1270" t="s">
        <v>17</v>
      </c>
      <c r="I788" s="1271" t="s">
        <v>18</v>
      </c>
      <c r="J788" s="3" t="s">
        <v>19</v>
      </c>
      <c r="K788" s="3"/>
    </row>
    <row r="789" spans="1:11" ht="86.4" x14ac:dyDescent="0.3">
      <c r="A789" s="3" t="s">
        <v>1739</v>
      </c>
      <c r="B789" s="3" t="str">
        <f>"039474046"</f>
        <v>039474046</v>
      </c>
      <c r="C789" s="3" t="s">
        <v>1740</v>
      </c>
      <c r="D789" s="3" t="s">
        <v>1751</v>
      </c>
      <c r="E789" s="3" t="s">
        <v>103</v>
      </c>
      <c r="F789" s="2">
        <v>42736</v>
      </c>
      <c r="G789" s="2"/>
      <c r="H789" s="1272" t="s">
        <v>17</v>
      </c>
      <c r="I789" s="1273" t="s">
        <v>18</v>
      </c>
      <c r="J789" s="3" t="s">
        <v>19</v>
      </c>
      <c r="K789" s="3"/>
    </row>
    <row r="790" spans="1:11" ht="86.4" x14ac:dyDescent="0.3">
      <c r="A790" s="3" t="s">
        <v>1739</v>
      </c>
      <c r="B790" s="3" t="str">
        <f>"039474034"</f>
        <v>039474034</v>
      </c>
      <c r="C790" s="3" t="s">
        <v>1740</v>
      </c>
      <c r="D790" s="3" t="s">
        <v>1752</v>
      </c>
      <c r="E790" s="3" t="s">
        <v>103</v>
      </c>
      <c r="F790" s="2">
        <v>41426</v>
      </c>
      <c r="G790" s="2"/>
      <c r="H790" s="1274" t="s">
        <v>17</v>
      </c>
      <c r="I790" s="1275" t="s">
        <v>18</v>
      </c>
      <c r="J790" s="3" t="s">
        <v>19</v>
      </c>
      <c r="K790" s="3"/>
    </row>
    <row r="791" spans="1:11" ht="86.4" x14ac:dyDescent="0.3">
      <c r="A791" s="3" t="s">
        <v>1739</v>
      </c>
      <c r="B791" s="3" t="str">
        <f>"039474123"</f>
        <v>039474123</v>
      </c>
      <c r="C791" s="3" t="s">
        <v>1740</v>
      </c>
      <c r="D791" s="3" t="s">
        <v>1753</v>
      </c>
      <c r="E791" s="3" t="s">
        <v>103</v>
      </c>
      <c r="F791" s="2">
        <v>42736</v>
      </c>
      <c r="G791" s="2"/>
      <c r="H791" s="1276" t="s">
        <v>17</v>
      </c>
      <c r="I791" s="1277" t="s">
        <v>18</v>
      </c>
      <c r="J791" s="3" t="s">
        <v>19</v>
      </c>
      <c r="K791" s="3"/>
    </row>
    <row r="792" spans="1:11" ht="86.4" x14ac:dyDescent="0.3">
      <c r="A792" s="3" t="s">
        <v>1739</v>
      </c>
      <c r="B792" s="3" t="str">
        <f>"039474111"</f>
        <v>039474111</v>
      </c>
      <c r="C792" s="3" t="s">
        <v>1740</v>
      </c>
      <c r="D792" s="3" t="s">
        <v>1754</v>
      </c>
      <c r="E792" s="3" t="s">
        <v>103</v>
      </c>
      <c r="F792" s="2">
        <v>41609</v>
      </c>
      <c r="G792" s="2"/>
      <c r="H792" s="1278" t="s">
        <v>17</v>
      </c>
      <c r="I792" s="1279" t="s">
        <v>18</v>
      </c>
      <c r="J792" s="3" t="s">
        <v>19</v>
      </c>
      <c r="K792" s="3"/>
    </row>
    <row r="793" spans="1:11" ht="86.4" x14ac:dyDescent="0.3">
      <c r="A793" s="3" t="s">
        <v>1739</v>
      </c>
      <c r="B793" s="3" t="str">
        <f>"039474022"</f>
        <v>039474022</v>
      </c>
      <c r="C793" s="3" t="s">
        <v>1740</v>
      </c>
      <c r="D793" s="3" t="s">
        <v>1755</v>
      </c>
      <c r="E793" s="3" t="s">
        <v>103</v>
      </c>
      <c r="F793" s="2">
        <v>42736</v>
      </c>
      <c r="G793" s="2"/>
      <c r="H793" s="1280" t="s">
        <v>17</v>
      </c>
      <c r="I793" s="1281" t="s">
        <v>18</v>
      </c>
      <c r="J793" s="3" t="s">
        <v>19</v>
      </c>
      <c r="K793" s="3"/>
    </row>
    <row r="794" spans="1:11" ht="86.4" x14ac:dyDescent="0.3">
      <c r="A794" s="3" t="s">
        <v>1739</v>
      </c>
      <c r="B794" s="3" t="str">
        <f>"039474010"</f>
        <v>039474010</v>
      </c>
      <c r="C794" s="3" t="s">
        <v>1740</v>
      </c>
      <c r="D794" s="3" t="s">
        <v>1756</v>
      </c>
      <c r="E794" s="3" t="s">
        <v>103</v>
      </c>
      <c r="F794" s="2">
        <v>41426</v>
      </c>
      <c r="G794" s="2"/>
      <c r="H794" s="1282" t="s">
        <v>17</v>
      </c>
      <c r="I794" s="1283" t="s">
        <v>18</v>
      </c>
      <c r="J794" s="3" t="s">
        <v>19</v>
      </c>
      <c r="K794" s="3"/>
    </row>
    <row r="795" spans="1:11" ht="43.2" x14ac:dyDescent="0.3">
      <c r="A795" s="3" t="s">
        <v>1757</v>
      </c>
      <c r="B795" s="3" t="str">
        <f>"030705014"</f>
        <v>030705014</v>
      </c>
      <c r="C795" s="3" t="s">
        <v>1717</v>
      </c>
      <c r="D795" s="3" t="s">
        <v>1758</v>
      </c>
      <c r="E795" s="3" t="s">
        <v>412</v>
      </c>
      <c r="F795" s="2">
        <v>44123</v>
      </c>
      <c r="G795" s="2">
        <v>44165</v>
      </c>
      <c r="H795" s="1284" t="s">
        <v>17</v>
      </c>
      <c r="I795" s="3" t="s">
        <v>41</v>
      </c>
      <c r="J795" s="3" t="s">
        <v>19</v>
      </c>
      <c r="K795" s="3"/>
    </row>
    <row r="796" spans="1:11" ht="86.4" x14ac:dyDescent="0.3">
      <c r="A796" s="3" t="s">
        <v>1759</v>
      </c>
      <c r="B796" s="3" t="str">
        <f>"041889041"</f>
        <v>041889041</v>
      </c>
      <c r="C796" s="3" t="s">
        <v>1760</v>
      </c>
      <c r="D796" s="3" t="s">
        <v>1761</v>
      </c>
      <c r="E796" s="3" t="s">
        <v>1762</v>
      </c>
      <c r="F796" s="2">
        <v>44001</v>
      </c>
      <c r="G796" s="2">
        <v>44165</v>
      </c>
      <c r="H796" s="1285" t="s">
        <v>37</v>
      </c>
      <c r="I796" s="3" t="s">
        <v>41</v>
      </c>
      <c r="J796" s="3" t="s">
        <v>39</v>
      </c>
      <c r="K796" s="3"/>
    </row>
    <row r="797" spans="1:11" ht="43.2" x14ac:dyDescent="0.3">
      <c r="A797" s="3" t="s">
        <v>1763</v>
      </c>
      <c r="B797" s="3" t="str">
        <f>"026064016"</f>
        <v>026064016</v>
      </c>
      <c r="C797" s="3" t="s">
        <v>1764</v>
      </c>
      <c r="D797" s="3" t="s">
        <v>1765</v>
      </c>
      <c r="E797" s="3" t="s">
        <v>835</v>
      </c>
      <c r="F797" s="2">
        <v>43748</v>
      </c>
      <c r="G797" s="2">
        <v>43862</v>
      </c>
      <c r="H797" s="1286" t="s">
        <v>37</v>
      </c>
      <c r="I797" s="1287" t="s">
        <v>32</v>
      </c>
      <c r="J797" s="3" t="s">
        <v>19</v>
      </c>
      <c r="K797" s="3"/>
    </row>
    <row r="798" spans="1:11" ht="43.2" x14ac:dyDescent="0.3">
      <c r="A798" s="3" t="s">
        <v>1766</v>
      </c>
      <c r="B798" s="3" t="str">
        <f>"026283109"</f>
        <v>026283109</v>
      </c>
      <c r="C798" s="3" t="s">
        <v>1767</v>
      </c>
      <c r="D798" s="3" t="s">
        <v>1768</v>
      </c>
      <c r="E798" s="3" t="s">
        <v>191</v>
      </c>
      <c r="F798" s="2">
        <v>44043</v>
      </c>
      <c r="G798" s="2"/>
      <c r="H798" s="1288" t="s">
        <v>17</v>
      </c>
      <c r="I798" s="1289" t="s">
        <v>18</v>
      </c>
      <c r="J798" s="3" t="s">
        <v>19</v>
      </c>
      <c r="K798" s="3"/>
    </row>
    <row r="799" spans="1:11" ht="57.6" x14ac:dyDescent="0.3">
      <c r="A799" s="3" t="s">
        <v>1769</v>
      </c>
      <c r="B799" s="3" t="str">
        <f>"008783110"</f>
        <v>008783110</v>
      </c>
      <c r="C799" s="3" t="s">
        <v>1770</v>
      </c>
      <c r="D799" s="3" t="s">
        <v>1771</v>
      </c>
      <c r="E799" s="3" t="s">
        <v>1772</v>
      </c>
      <c r="F799" s="2">
        <v>43474</v>
      </c>
      <c r="G799" s="2"/>
      <c r="H799" s="1290" t="s">
        <v>17</v>
      </c>
      <c r="I799" s="1291" t="s">
        <v>1773</v>
      </c>
      <c r="J799" s="3" t="s">
        <v>156</v>
      </c>
      <c r="K799" s="3"/>
    </row>
    <row r="800" spans="1:11" ht="57.6" x14ac:dyDescent="0.3">
      <c r="A800" s="3" t="s">
        <v>1769</v>
      </c>
      <c r="B800" s="3" t="str">
        <f>"008783134"</f>
        <v>008783134</v>
      </c>
      <c r="C800" s="3" t="s">
        <v>1770</v>
      </c>
      <c r="D800" s="3" t="s">
        <v>1774</v>
      </c>
      <c r="E800" s="3" t="s">
        <v>1772</v>
      </c>
      <c r="F800" s="2">
        <v>43474</v>
      </c>
      <c r="G800" s="2"/>
      <c r="H800" s="1292" t="s">
        <v>17</v>
      </c>
      <c r="I800" s="1293" t="s">
        <v>1773</v>
      </c>
      <c r="J800" s="3" t="s">
        <v>156</v>
      </c>
      <c r="K800" s="3"/>
    </row>
    <row r="801" spans="1:11" ht="57.6" x14ac:dyDescent="0.3">
      <c r="A801" s="3" t="s">
        <v>1769</v>
      </c>
      <c r="B801" s="3" t="str">
        <f>"008783146"</f>
        <v>008783146</v>
      </c>
      <c r="C801" s="3" t="s">
        <v>1770</v>
      </c>
      <c r="D801" s="3" t="s">
        <v>1775</v>
      </c>
      <c r="E801" s="3" t="s">
        <v>1772</v>
      </c>
      <c r="F801" s="2">
        <v>43474</v>
      </c>
      <c r="G801" s="2"/>
      <c r="H801" s="1294" t="s">
        <v>17</v>
      </c>
      <c r="I801" s="1295" t="s">
        <v>1773</v>
      </c>
      <c r="J801" s="3" t="s">
        <v>156</v>
      </c>
      <c r="K801" s="3"/>
    </row>
    <row r="802" spans="1:11" ht="57.6" x14ac:dyDescent="0.3">
      <c r="A802" s="3" t="s">
        <v>1769</v>
      </c>
      <c r="B802" s="3" t="str">
        <f>"008783159"</f>
        <v>008783159</v>
      </c>
      <c r="C802" s="3" t="s">
        <v>1770</v>
      </c>
      <c r="D802" s="3" t="s">
        <v>1776</v>
      </c>
      <c r="E802" s="3" t="s">
        <v>1772</v>
      </c>
      <c r="F802" s="2">
        <v>43474</v>
      </c>
      <c r="G802" s="2"/>
      <c r="H802" s="1296" t="s">
        <v>17</v>
      </c>
      <c r="I802" s="1297" t="s">
        <v>1773</v>
      </c>
      <c r="J802" s="3" t="s">
        <v>156</v>
      </c>
      <c r="K802" s="3"/>
    </row>
    <row r="803" spans="1:11" ht="43.2" x14ac:dyDescent="0.3">
      <c r="A803" s="3" t="s">
        <v>1777</v>
      </c>
      <c r="B803" s="3" t="str">
        <f>"021649013"</f>
        <v>021649013</v>
      </c>
      <c r="C803" s="3" t="s">
        <v>1778</v>
      </c>
      <c r="D803" s="3" t="s">
        <v>1779</v>
      </c>
      <c r="E803" s="3" t="s">
        <v>1780</v>
      </c>
      <c r="F803" s="2">
        <v>42789</v>
      </c>
      <c r="G803" s="2"/>
      <c r="H803" s="1298" t="s">
        <v>17</v>
      </c>
      <c r="I803" s="1299" t="s">
        <v>18</v>
      </c>
      <c r="J803" s="3" t="s">
        <v>19</v>
      </c>
      <c r="K803" s="3"/>
    </row>
    <row r="804" spans="1:11" ht="57.6" x14ac:dyDescent="0.3">
      <c r="A804" s="3" t="s">
        <v>1781</v>
      </c>
      <c r="B804" s="3" t="str">
        <f>"041271014"</f>
        <v>041271014</v>
      </c>
      <c r="C804" s="3" t="s">
        <v>1782</v>
      </c>
      <c r="D804" s="3" t="s">
        <v>1783</v>
      </c>
      <c r="E804" s="3" t="s">
        <v>1784</v>
      </c>
      <c r="F804" s="2">
        <v>43845</v>
      </c>
      <c r="G804" s="2"/>
      <c r="H804" s="1300" t="s">
        <v>17</v>
      </c>
      <c r="I804" s="1301" t="s">
        <v>18</v>
      </c>
      <c r="J804" s="3" t="s">
        <v>19</v>
      </c>
      <c r="K804" s="3"/>
    </row>
    <row r="805" spans="1:11" ht="57.6" x14ac:dyDescent="0.3">
      <c r="A805" s="3" t="s">
        <v>1781</v>
      </c>
      <c r="B805" s="3" t="str">
        <f>"041271026"</f>
        <v>041271026</v>
      </c>
      <c r="C805" s="3" t="s">
        <v>1782</v>
      </c>
      <c r="D805" s="3" t="s">
        <v>1785</v>
      </c>
      <c r="E805" s="3" t="s">
        <v>1784</v>
      </c>
      <c r="F805" s="2">
        <v>43845</v>
      </c>
      <c r="G805" s="2"/>
      <c r="H805" s="1302" t="s">
        <v>17</v>
      </c>
      <c r="I805" s="1303" t="s">
        <v>18</v>
      </c>
      <c r="J805" s="3" t="s">
        <v>19</v>
      </c>
      <c r="K805" s="3"/>
    </row>
    <row r="806" spans="1:11" ht="43.2" x14ac:dyDescent="0.3">
      <c r="A806" s="3" t="s">
        <v>1786</v>
      </c>
      <c r="B806" s="3" t="str">
        <f>"042975072"</f>
        <v>042975072</v>
      </c>
      <c r="C806" s="3" t="s">
        <v>1787</v>
      </c>
      <c r="D806" s="3" t="s">
        <v>1788</v>
      </c>
      <c r="E806" s="3" t="s">
        <v>263</v>
      </c>
      <c r="F806" s="2">
        <v>44249</v>
      </c>
      <c r="G806" s="2">
        <v>44382</v>
      </c>
      <c r="H806" s="1304" t="s">
        <v>17</v>
      </c>
      <c r="I806" s="3" t="s">
        <v>41</v>
      </c>
      <c r="J806" s="3" t="s">
        <v>19</v>
      </c>
      <c r="K806" s="3"/>
    </row>
    <row r="807" spans="1:11" ht="43.2" x14ac:dyDescent="0.3">
      <c r="A807" s="3" t="s">
        <v>1786</v>
      </c>
      <c r="B807" s="3" t="str">
        <f>"042975021"</f>
        <v>042975021</v>
      </c>
      <c r="C807" s="3" t="s">
        <v>1787</v>
      </c>
      <c r="D807" s="3" t="s">
        <v>1540</v>
      </c>
      <c r="E807" s="3" t="s">
        <v>263</v>
      </c>
      <c r="F807" s="2">
        <v>44060</v>
      </c>
      <c r="G807" s="2">
        <v>44256</v>
      </c>
      <c r="H807" s="1305" t="s">
        <v>17</v>
      </c>
      <c r="I807" s="3" t="s">
        <v>41</v>
      </c>
      <c r="J807" s="3" t="s">
        <v>19</v>
      </c>
      <c r="K807" s="3"/>
    </row>
    <row r="808" spans="1:11" ht="57.6" x14ac:dyDescent="0.3">
      <c r="A808" s="3" t="s">
        <v>1789</v>
      </c>
      <c r="B808" s="3" t="str">
        <f>"042948024"</f>
        <v>042948024</v>
      </c>
      <c r="C808" s="3" t="s">
        <v>1787</v>
      </c>
      <c r="D808" s="3" t="s">
        <v>1790</v>
      </c>
      <c r="E808" s="3" t="s">
        <v>895</v>
      </c>
      <c r="F808" s="2">
        <v>43052</v>
      </c>
      <c r="G808" s="2"/>
      <c r="H808" s="1306" t="s">
        <v>17</v>
      </c>
      <c r="I808" s="1307" t="s">
        <v>18</v>
      </c>
      <c r="J808" s="3" t="s">
        <v>19</v>
      </c>
      <c r="K808" s="3"/>
    </row>
    <row r="809" spans="1:11" ht="57.6" x14ac:dyDescent="0.3">
      <c r="A809" s="3" t="s">
        <v>1789</v>
      </c>
      <c r="B809" s="3" t="str">
        <f>"042948048"</f>
        <v>042948048</v>
      </c>
      <c r="C809" s="3" t="s">
        <v>1787</v>
      </c>
      <c r="D809" s="3" t="s">
        <v>1791</v>
      </c>
      <c r="E809" s="3" t="s">
        <v>895</v>
      </c>
      <c r="F809" s="2">
        <v>43052</v>
      </c>
      <c r="G809" s="2"/>
      <c r="H809" s="1308" t="s">
        <v>17</v>
      </c>
      <c r="I809" s="1309" t="s">
        <v>18</v>
      </c>
      <c r="J809" s="3" t="s">
        <v>19</v>
      </c>
      <c r="K809" s="3"/>
    </row>
    <row r="810" spans="1:11" ht="57.6" x14ac:dyDescent="0.3">
      <c r="A810" s="3" t="s">
        <v>1792</v>
      </c>
      <c r="B810" s="3" t="str">
        <f>"041643014"</f>
        <v>041643014</v>
      </c>
      <c r="C810" s="3" t="s">
        <v>1787</v>
      </c>
      <c r="D810" s="3" t="s">
        <v>1793</v>
      </c>
      <c r="E810" s="3" t="s">
        <v>518</v>
      </c>
      <c r="F810" s="2">
        <v>43612</v>
      </c>
      <c r="G810" s="2"/>
      <c r="H810" s="1310" t="s">
        <v>17</v>
      </c>
      <c r="I810" s="3" t="s">
        <v>41</v>
      </c>
      <c r="J810" s="3" t="s">
        <v>19</v>
      </c>
      <c r="K810" s="3"/>
    </row>
    <row r="811" spans="1:11" ht="43.2" x14ac:dyDescent="0.3">
      <c r="A811" s="3" t="s">
        <v>1794</v>
      </c>
      <c r="B811" s="3" t="str">
        <f>"042458036"</f>
        <v>042458036</v>
      </c>
      <c r="C811" s="3" t="s">
        <v>1787</v>
      </c>
      <c r="D811" s="3" t="s">
        <v>1795</v>
      </c>
      <c r="E811" s="3" t="s">
        <v>64</v>
      </c>
      <c r="F811" s="2">
        <v>44075</v>
      </c>
      <c r="G811" s="2"/>
      <c r="H811" s="1311" t="s">
        <v>17</v>
      </c>
      <c r="I811" s="3" t="s">
        <v>41</v>
      </c>
      <c r="J811" s="3" t="s">
        <v>19</v>
      </c>
      <c r="K811" s="3"/>
    </row>
    <row r="812" spans="1:11" ht="43.2" x14ac:dyDescent="0.3">
      <c r="A812" s="3" t="s">
        <v>1794</v>
      </c>
      <c r="B812" s="3" t="str">
        <f>"042458101"</f>
        <v>042458101</v>
      </c>
      <c r="C812" s="3" t="s">
        <v>1787</v>
      </c>
      <c r="D812" s="3" t="s">
        <v>1796</v>
      </c>
      <c r="E812" s="3" t="s">
        <v>64</v>
      </c>
      <c r="F812" s="2">
        <v>44200</v>
      </c>
      <c r="G812" s="2"/>
      <c r="H812" s="1312" t="s">
        <v>17</v>
      </c>
      <c r="I812" s="3" t="s">
        <v>41</v>
      </c>
      <c r="J812" s="3" t="s">
        <v>19</v>
      </c>
      <c r="K812" s="3"/>
    </row>
    <row r="813" spans="1:11" ht="57.6" x14ac:dyDescent="0.3">
      <c r="A813" s="3" t="s">
        <v>1797</v>
      </c>
      <c r="B813" s="3" t="str">
        <f>"042260152"</f>
        <v>042260152</v>
      </c>
      <c r="C813" s="3" t="s">
        <v>1787</v>
      </c>
      <c r="D813" s="3" t="s">
        <v>1790</v>
      </c>
      <c r="E813" s="3" t="s">
        <v>1798</v>
      </c>
      <c r="F813" s="2">
        <v>43497</v>
      </c>
      <c r="G813" s="2"/>
      <c r="H813" s="1313" t="s">
        <v>17</v>
      </c>
      <c r="I813" s="1314" t="s">
        <v>18</v>
      </c>
      <c r="J813" s="3" t="s">
        <v>19</v>
      </c>
      <c r="K813" s="3"/>
    </row>
    <row r="814" spans="1:11" ht="57.6" x14ac:dyDescent="0.3">
      <c r="A814" s="3" t="s">
        <v>1797</v>
      </c>
      <c r="B814" s="3" t="str">
        <f>"042260265"</f>
        <v>042260265</v>
      </c>
      <c r="C814" s="3" t="s">
        <v>1787</v>
      </c>
      <c r="D814" s="3" t="s">
        <v>1791</v>
      </c>
      <c r="E814" s="3" t="s">
        <v>1798</v>
      </c>
      <c r="F814" s="2">
        <v>43313</v>
      </c>
      <c r="G814" s="2"/>
      <c r="H814" s="1315" t="s">
        <v>17</v>
      </c>
      <c r="I814" s="1316" t="s">
        <v>18</v>
      </c>
      <c r="J814" s="3" t="s">
        <v>19</v>
      </c>
      <c r="K814" s="3"/>
    </row>
    <row r="815" spans="1:11" ht="57.6" x14ac:dyDescent="0.3">
      <c r="A815" s="3" t="s">
        <v>1799</v>
      </c>
      <c r="B815" s="3" t="str">
        <f>"036913010"</f>
        <v>036913010</v>
      </c>
      <c r="C815" s="3" t="s">
        <v>1800</v>
      </c>
      <c r="D815" s="3" t="s">
        <v>1801</v>
      </c>
      <c r="E815" s="3" t="s">
        <v>1802</v>
      </c>
      <c r="F815" s="2">
        <v>43040</v>
      </c>
      <c r="G815" s="2"/>
      <c r="H815" s="1317" t="s">
        <v>37</v>
      </c>
      <c r="I815" s="3" t="s">
        <v>41</v>
      </c>
      <c r="J815" s="3" t="s">
        <v>156</v>
      </c>
      <c r="K815" s="3"/>
    </row>
    <row r="816" spans="1:11" ht="57.6" x14ac:dyDescent="0.3">
      <c r="A816" s="3" t="s">
        <v>1803</v>
      </c>
      <c r="B816" s="3" t="str">
        <f>"029209044"</f>
        <v>029209044</v>
      </c>
      <c r="C816" s="3" t="s">
        <v>1804</v>
      </c>
      <c r="D816" s="3" t="s">
        <v>1805</v>
      </c>
      <c r="E816" s="3" t="s">
        <v>438</v>
      </c>
      <c r="F816" s="2">
        <v>44140</v>
      </c>
      <c r="G816" s="2">
        <v>44165</v>
      </c>
      <c r="H816" s="1318" t="s">
        <v>17</v>
      </c>
      <c r="I816" s="3" t="s">
        <v>178</v>
      </c>
      <c r="J816" s="3" t="s">
        <v>156</v>
      </c>
      <c r="K816" s="3"/>
    </row>
    <row r="817" spans="1:11" ht="43.2" x14ac:dyDescent="0.3">
      <c r="A817" s="3" t="s">
        <v>1806</v>
      </c>
      <c r="B817" s="3" t="str">
        <f>"027797012"</f>
        <v>027797012</v>
      </c>
      <c r="C817" s="3" t="s">
        <v>1807</v>
      </c>
      <c r="D817" s="3" t="s">
        <v>1808</v>
      </c>
      <c r="E817" s="3" t="s">
        <v>1353</v>
      </c>
      <c r="F817" s="2">
        <v>43769</v>
      </c>
      <c r="G817" s="2"/>
      <c r="H817" s="1319" t="s">
        <v>37</v>
      </c>
      <c r="I817" s="1320" t="s">
        <v>18</v>
      </c>
      <c r="J817" s="3" t="s">
        <v>19</v>
      </c>
      <c r="K817" s="3"/>
    </row>
    <row r="818" spans="1:11" ht="43.2" x14ac:dyDescent="0.3">
      <c r="A818" s="3" t="s">
        <v>1809</v>
      </c>
      <c r="B818" s="3" t="str">
        <f>"043002029"</f>
        <v>043002029</v>
      </c>
      <c r="C818" s="3" t="s">
        <v>1810</v>
      </c>
      <c r="D818" s="3" t="s">
        <v>1811</v>
      </c>
      <c r="E818" s="3" t="s">
        <v>16</v>
      </c>
      <c r="F818" s="2">
        <v>43978</v>
      </c>
      <c r="G818" s="2"/>
      <c r="H818" s="1321" t="s">
        <v>37</v>
      </c>
      <c r="I818" s="1322" t="s">
        <v>18</v>
      </c>
      <c r="J818" s="3" t="s">
        <v>19</v>
      </c>
      <c r="K818" s="3"/>
    </row>
    <row r="819" spans="1:11" ht="57.6" x14ac:dyDescent="0.3">
      <c r="A819" s="3" t="s">
        <v>1812</v>
      </c>
      <c r="B819" s="3" t="str">
        <f>"044371019"</f>
        <v>044371019</v>
      </c>
      <c r="C819" s="3" t="s">
        <v>1813</v>
      </c>
      <c r="D819" s="3" t="s">
        <v>1814</v>
      </c>
      <c r="E819" s="3" t="s">
        <v>74</v>
      </c>
      <c r="F819" s="2">
        <v>43497</v>
      </c>
      <c r="G819" s="2"/>
      <c r="H819" s="1323" t="s">
        <v>17</v>
      </c>
      <c r="I819" s="1324" t="s">
        <v>18</v>
      </c>
      <c r="J819" s="3" t="s">
        <v>19</v>
      </c>
      <c r="K819" s="3"/>
    </row>
    <row r="820" spans="1:11" ht="57.6" x14ac:dyDescent="0.3">
      <c r="A820" s="3" t="s">
        <v>1812</v>
      </c>
      <c r="B820" s="3" t="str">
        <f>"044371045"</f>
        <v>044371045</v>
      </c>
      <c r="C820" s="3" t="s">
        <v>1813</v>
      </c>
      <c r="D820" s="3" t="s">
        <v>1815</v>
      </c>
      <c r="E820" s="3" t="s">
        <v>74</v>
      </c>
      <c r="F820" s="2">
        <v>43497</v>
      </c>
      <c r="G820" s="2"/>
      <c r="H820" s="1325" t="s">
        <v>17</v>
      </c>
      <c r="I820" s="1326" t="s">
        <v>18</v>
      </c>
      <c r="J820" s="3" t="s">
        <v>19</v>
      </c>
      <c r="K820" s="3"/>
    </row>
    <row r="821" spans="1:11" ht="43.2" x14ac:dyDescent="0.3">
      <c r="A821" s="3" t="s">
        <v>1816</v>
      </c>
      <c r="B821" s="3" t="str">
        <f>"044677019"</f>
        <v>044677019</v>
      </c>
      <c r="C821" s="3"/>
      <c r="D821" s="3" t="s">
        <v>1817</v>
      </c>
      <c r="E821" s="3" t="s">
        <v>263</v>
      </c>
      <c r="F821" s="2">
        <v>44207</v>
      </c>
      <c r="G821" s="2">
        <v>44288</v>
      </c>
      <c r="H821" s="1327" t="s">
        <v>17</v>
      </c>
      <c r="I821" s="3" t="s">
        <v>41</v>
      </c>
      <c r="J821" s="3" t="s">
        <v>19</v>
      </c>
      <c r="K821" s="3"/>
    </row>
    <row r="822" spans="1:11" ht="43.2" x14ac:dyDescent="0.3">
      <c r="A822" s="3" t="s">
        <v>1816</v>
      </c>
      <c r="B822" s="3" t="str">
        <f>"044677060"</f>
        <v>044677060</v>
      </c>
      <c r="C822" s="3"/>
      <c r="D822" s="3" t="s">
        <v>1818</v>
      </c>
      <c r="E822" s="3" t="s">
        <v>263</v>
      </c>
      <c r="F822" s="2">
        <v>44124</v>
      </c>
      <c r="G822" s="2">
        <v>44288</v>
      </c>
      <c r="H822" s="1328" t="s">
        <v>17</v>
      </c>
      <c r="I822" s="3" t="s">
        <v>41</v>
      </c>
      <c r="J822" s="3" t="s">
        <v>19</v>
      </c>
      <c r="K822" s="3"/>
    </row>
    <row r="823" spans="1:11" ht="43.2" x14ac:dyDescent="0.3">
      <c r="A823" s="3" t="s">
        <v>1816</v>
      </c>
      <c r="B823" s="3" t="str">
        <f>"044677110"</f>
        <v>044677110</v>
      </c>
      <c r="C823" s="3" t="s">
        <v>1813</v>
      </c>
      <c r="D823" s="3" t="s">
        <v>1819</v>
      </c>
      <c r="E823" s="3" t="s">
        <v>263</v>
      </c>
      <c r="F823" s="2">
        <v>44249</v>
      </c>
      <c r="G823" s="2">
        <v>44288</v>
      </c>
      <c r="H823" s="1329" t="s">
        <v>17</v>
      </c>
      <c r="I823" s="1330" t="s">
        <v>32</v>
      </c>
      <c r="J823" s="3" t="s">
        <v>19</v>
      </c>
      <c r="K823" s="3"/>
    </row>
    <row r="824" spans="1:11" ht="43.2" x14ac:dyDescent="0.3">
      <c r="A824" s="3" t="s">
        <v>1816</v>
      </c>
      <c r="B824" s="3" t="str">
        <f>"044677122"</f>
        <v>044677122</v>
      </c>
      <c r="C824" s="3" t="s">
        <v>1813</v>
      </c>
      <c r="D824" s="3" t="s">
        <v>1820</v>
      </c>
      <c r="E824" s="3" t="s">
        <v>263</v>
      </c>
      <c r="F824" s="2">
        <v>44124</v>
      </c>
      <c r="G824" s="2">
        <v>44196</v>
      </c>
      <c r="H824" s="1331" t="s">
        <v>17</v>
      </c>
      <c r="I824" s="3" t="s">
        <v>41</v>
      </c>
      <c r="J824" s="3" t="s">
        <v>19</v>
      </c>
      <c r="K824" s="3"/>
    </row>
    <row r="825" spans="1:11" ht="43.2" x14ac:dyDescent="0.3">
      <c r="A825" s="3" t="s">
        <v>1816</v>
      </c>
      <c r="B825" s="3" t="str">
        <f>"044677134"</f>
        <v>044677134</v>
      </c>
      <c r="C825" s="3" t="s">
        <v>1813</v>
      </c>
      <c r="D825" s="3" t="s">
        <v>1821</v>
      </c>
      <c r="E825" s="3" t="s">
        <v>263</v>
      </c>
      <c r="F825" s="2">
        <v>44046</v>
      </c>
      <c r="G825" s="2">
        <v>44288</v>
      </c>
      <c r="H825" s="1332" t="s">
        <v>17</v>
      </c>
      <c r="I825" s="3" t="s">
        <v>41</v>
      </c>
      <c r="J825" s="3" t="s">
        <v>19</v>
      </c>
      <c r="K825" s="3"/>
    </row>
    <row r="826" spans="1:11" ht="43.2" x14ac:dyDescent="0.3">
      <c r="A826" s="3" t="s">
        <v>1816</v>
      </c>
      <c r="B826" s="3" t="str">
        <f>"044677146"</f>
        <v>044677146</v>
      </c>
      <c r="C826" s="3" t="s">
        <v>1813</v>
      </c>
      <c r="D826" s="3" t="s">
        <v>1822</v>
      </c>
      <c r="E826" s="3" t="s">
        <v>263</v>
      </c>
      <c r="F826" s="2">
        <v>44057</v>
      </c>
      <c r="G826" s="2">
        <v>44288</v>
      </c>
      <c r="H826" s="1333" t="s">
        <v>17</v>
      </c>
      <c r="I826" s="3" t="s">
        <v>41</v>
      </c>
      <c r="J826" s="3" t="s">
        <v>19</v>
      </c>
      <c r="K826" s="3"/>
    </row>
    <row r="827" spans="1:11" ht="43.2" x14ac:dyDescent="0.3">
      <c r="A827" s="3" t="s">
        <v>1816</v>
      </c>
      <c r="B827" s="3" t="str">
        <f>"044677161"</f>
        <v>044677161</v>
      </c>
      <c r="C827" s="3" t="s">
        <v>1813</v>
      </c>
      <c r="D827" s="3" t="s">
        <v>1823</v>
      </c>
      <c r="E827" s="3" t="s">
        <v>263</v>
      </c>
      <c r="F827" s="2">
        <v>44166</v>
      </c>
      <c r="G827" s="2">
        <v>44288</v>
      </c>
      <c r="H827" s="1334" t="s">
        <v>17</v>
      </c>
      <c r="I827" s="1335" t="s">
        <v>32</v>
      </c>
      <c r="J827" s="3" t="s">
        <v>19</v>
      </c>
      <c r="K827" s="3"/>
    </row>
    <row r="828" spans="1:11" ht="43.2" x14ac:dyDescent="0.3">
      <c r="A828" s="3" t="s">
        <v>1816</v>
      </c>
      <c r="B828" s="3" t="str">
        <f>"044677173"</f>
        <v>044677173</v>
      </c>
      <c r="C828" s="3" t="s">
        <v>1813</v>
      </c>
      <c r="D828" s="3" t="s">
        <v>1824</v>
      </c>
      <c r="E828" s="3" t="s">
        <v>263</v>
      </c>
      <c r="F828" s="2">
        <v>44124</v>
      </c>
      <c r="G828" s="2">
        <v>44288</v>
      </c>
      <c r="H828" s="1336" t="s">
        <v>17</v>
      </c>
      <c r="I828" s="3" t="s">
        <v>41</v>
      </c>
      <c r="J828" s="3" t="s">
        <v>19</v>
      </c>
      <c r="K828" s="3"/>
    </row>
    <row r="829" spans="1:11" ht="43.2" x14ac:dyDescent="0.3">
      <c r="A829" s="3" t="s">
        <v>1825</v>
      </c>
      <c r="B829" s="3" t="str">
        <f>"040438018"</f>
        <v>040438018</v>
      </c>
      <c r="C829" s="3" t="s">
        <v>1810</v>
      </c>
      <c r="D829" s="3" t="s">
        <v>1826</v>
      </c>
      <c r="E829" s="3" t="s">
        <v>64</v>
      </c>
      <c r="F829" s="2">
        <v>43952</v>
      </c>
      <c r="G829" s="2"/>
      <c r="H829" s="1337" t="s">
        <v>17</v>
      </c>
      <c r="I829" s="3" t="s">
        <v>41</v>
      </c>
      <c r="J829" s="3" t="s">
        <v>19</v>
      </c>
      <c r="K829" s="3"/>
    </row>
    <row r="830" spans="1:11" ht="57.6" x14ac:dyDescent="0.3">
      <c r="A830" s="3" t="s">
        <v>1827</v>
      </c>
      <c r="B830" s="3" t="str">
        <f>"040839223"</f>
        <v>040839223</v>
      </c>
      <c r="C830" s="3" t="s">
        <v>1828</v>
      </c>
      <c r="D830" s="3" t="s">
        <v>1829</v>
      </c>
      <c r="E830" s="3" t="s">
        <v>64</v>
      </c>
      <c r="F830" s="2">
        <v>44075</v>
      </c>
      <c r="G830" s="2"/>
      <c r="H830" s="1338" t="s">
        <v>17</v>
      </c>
      <c r="I830" s="3" t="s">
        <v>41</v>
      </c>
      <c r="J830" s="3" t="s">
        <v>19</v>
      </c>
      <c r="K830" s="3"/>
    </row>
    <row r="831" spans="1:11" ht="57.6" x14ac:dyDescent="0.3">
      <c r="A831" s="3" t="s">
        <v>1827</v>
      </c>
      <c r="B831" s="3" t="str">
        <f>"040839312"</f>
        <v>040839312</v>
      </c>
      <c r="C831" s="3" t="s">
        <v>1828</v>
      </c>
      <c r="D831" s="3" t="s">
        <v>1830</v>
      </c>
      <c r="E831" s="3" t="s">
        <v>64</v>
      </c>
      <c r="F831" s="2">
        <v>44156</v>
      </c>
      <c r="G831" s="2"/>
      <c r="H831" s="1339" t="s">
        <v>17</v>
      </c>
      <c r="I831" s="3" t="s">
        <v>41</v>
      </c>
      <c r="J831" s="3" t="s">
        <v>19</v>
      </c>
      <c r="K831" s="3"/>
    </row>
    <row r="832" spans="1:11" ht="43.2" x14ac:dyDescent="0.3">
      <c r="A832" s="3" t="s">
        <v>1831</v>
      </c>
      <c r="B832" s="3" t="str">
        <f>"040068037"</f>
        <v>040068037</v>
      </c>
      <c r="C832" s="3" t="s">
        <v>1828</v>
      </c>
      <c r="D832" s="3" t="s">
        <v>1832</v>
      </c>
      <c r="E832" s="3" t="s">
        <v>27</v>
      </c>
      <c r="F832" s="2">
        <v>41306</v>
      </c>
      <c r="G832" s="2"/>
      <c r="H832" s="1340" t="s">
        <v>17</v>
      </c>
      <c r="I832" s="1341" t="s">
        <v>18</v>
      </c>
      <c r="J832" s="3" t="s">
        <v>19</v>
      </c>
      <c r="K832" s="3"/>
    </row>
    <row r="833" spans="1:11" ht="43.2" x14ac:dyDescent="0.3">
      <c r="A833" s="3" t="s">
        <v>1831</v>
      </c>
      <c r="B833" s="3" t="str">
        <f>"040068165"</f>
        <v>040068165</v>
      </c>
      <c r="C833" s="3" t="s">
        <v>1828</v>
      </c>
      <c r="D833" s="3" t="s">
        <v>1833</v>
      </c>
      <c r="E833" s="3" t="s">
        <v>27</v>
      </c>
      <c r="F833" s="2">
        <v>41456</v>
      </c>
      <c r="G833" s="2"/>
      <c r="H833" s="1342" t="s">
        <v>17</v>
      </c>
      <c r="I833" s="1343" t="s">
        <v>18</v>
      </c>
      <c r="J833" s="3" t="s">
        <v>19</v>
      </c>
      <c r="K833" s="3"/>
    </row>
    <row r="834" spans="1:11" ht="43.2" x14ac:dyDescent="0.3">
      <c r="A834" s="3" t="s">
        <v>1834</v>
      </c>
      <c r="B834" s="3" t="str">
        <f>"035433539"</f>
        <v>035433539</v>
      </c>
      <c r="C834" s="3" t="s">
        <v>1828</v>
      </c>
      <c r="D834" s="3" t="s">
        <v>1835</v>
      </c>
      <c r="E834" s="3" t="s">
        <v>501</v>
      </c>
      <c r="F834" s="2">
        <v>42369</v>
      </c>
      <c r="G834" s="2"/>
      <c r="H834" s="1344" t="s">
        <v>17</v>
      </c>
      <c r="I834" s="1345" t="s">
        <v>18</v>
      </c>
      <c r="J834" s="3" t="s">
        <v>19</v>
      </c>
      <c r="K834" s="3"/>
    </row>
    <row r="835" spans="1:11" ht="57.6" x14ac:dyDescent="0.3">
      <c r="A835" s="3" t="s">
        <v>1836</v>
      </c>
      <c r="B835" s="3" t="str">
        <f>"034209039"</f>
        <v>034209039</v>
      </c>
      <c r="C835" s="3" t="s">
        <v>1837</v>
      </c>
      <c r="D835" s="3" t="s">
        <v>1838</v>
      </c>
      <c r="E835" s="3" t="s">
        <v>1416</v>
      </c>
      <c r="F835" s="2">
        <v>43609</v>
      </c>
      <c r="G835" s="2"/>
      <c r="H835" s="1346" t="s">
        <v>37</v>
      </c>
      <c r="I835" s="1347" t="s">
        <v>18</v>
      </c>
      <c r="J835" s="3" t="s">
        <v>156</v>
      </c>
      <c r="K835" s="3"/>
    </row>
    <row r="836" spans="1:11" ht="43.2" x14ac:dyDescent="0.3">
      <c r="A836" s="3" t="s">
        <v>1839</v>
      </c>
      <c r="B836" s="3" t="str">
        <f>"028062026"</f>
        <v>028062026</v>
      </c>
      <c r="C836" s="3" t="s">
        <v>1840</v>
      </c>
      <c r="D836" s="3" t="s">
        <v>1841</v>
      </c>
      <c r="E836" s="3" t="s">
        <v>1353</v>
      </c>
      <c r="F836" s="2">
        <v>44165</v>
      </c>
      <c r="G836" s="2"/>
      <c r="H836" s="1348" t="s">
        <v>17</v>
      </c>
      <c r="I836" s="1349" t="s">
        <v>18</v>
      </c>
      <c r="J836" s="3" t="s">
        <v>19</v>
      </c>
      <c r="K836" s="3"/>
    </row>
    <row r="837" spans="1:11" ht="57.6" x14ac:dyDescent="0.3">
      <c r="A837" s="3" t="s">
        <v>1839</v>
      </c>
      <c r="B837" s="3" t="str">
        <f>"028062038"</f>
        <v>028062038</v>
      </c>
      <c r="C837" s="3" t="s">
        <v>1840</v>
      </c>
      <c r="D837" s="3" t="s">
        <v>1842</v>
      </c>
      <c r="E837" s="3" t="s">
        <v>1353</v>
      </c>
      <c r="F837" s="2">
        <v>43952</v>
      </c>
      <c r="G837" s="2"/>
      <c r="H837" s="1350" t="s">
        <v>37</v>
      </c>
      <c r="I837" s="1351" t="s">
        <v>18</v>
      </c>
      <c r="J837" s="3" t="s">
        <v>156</v>
      </c>
      <c r="K837" s="3"/>
    </row>
    <row r="838" spans="1:11" ht="43.2" x14ac:dyDescent="0.3">
      <c r="A838" s="3" t="s">
        <v>1843</v>
      </c>
      <c r="B838" s="3" t="str">
        <f>"031773031"</f>
        <v>031773031</v>
      </c>
      <c r="C838" s="3" t="s">
        <v>1728</v>
      </c>
      <c r="D838" s="3" t="s">
        <v>1844</v>
      </c>
      <c r="E838" s="3" t="s">
        <v>169</v>
      </c>
      <c r="F838" s="2">
        <v>40468</v>
      </c>
      <c r="G838" s="2"/>
      <c r="H838" s="1352" t="s">
        <v>17</v>
      </c>
      <c r="I838" s="1353" t="s">
        <v>18</v>
      </c>
      <c r="J838" s="3" t="s">
        <v>19</v>
      </c>
      <c r="K838" s="3"/>
    </row>
    <row r="839" spans="1:11" ht="57.6" x14ac:dyDescent="0.3">
      <c r="A839" s="3" t="s">
        <v>1845</v>
      </c>
      <c r="B839" s="3" t="str">
        <f>"030725016"</f>
        <v>030725016</v>
      </c>
      <c r="C839" s="3" t="s">
        <v>1846</v>
      </c>
      <c r="D839" s="3" t="s">
        <v>1847</v>
      </c>
      <c r="E839" s="3" t="s">
        <v>1848</v>
      </c>
      <c r="F839" s="2">
        <v>43768</v>
      </c>
      <c r="G839" s="2"/>
      <c r="H839" s="1354" t="s">
        <v>37</v>
      </c>
      <c r="I839" s="3" t="s">
        <v>41</v>
      </c>
      <c r="J839" s="3" t="s">
        <v>156</v>
      </c>
      <c r="K839" s="3"/>
    </row>
    <row r="840" spans="1:11" ht="43.2" x14ac:dyDescent="0.3">
      <c r="A840" s="3" t="s">
        <v>1849</v>
      </c>
      <c r="B840" s="3" t="str">
        <f>"033653027"</f>
        <v>033653027</v>
      </c>
      <c r="C840" s="3" t="s">
        <v>1850</v>
      </c>
      <c r="D840" s="3" t="s">
        <v>1851</v>
      </c>
      <c r="E840" s="3" t="s">
        <v>813</v>
      </c>
      <c r="F840" s="2">
        <v>43382</v>
      </c>
      <c r="G840" s="2"/>
      <c r="H840" s="1355" t="s">
        <v>17</v>
      </c>
      <c r="I840" s="1356" t="s">
        <v>18</v>
      </c>
      <c r="J840" s="3" t="s">
        <v>19</v>
      </c>
      <c r="K840" s="3"/>
    </row>
    <row r="841" spans="1:11" ht="57.6" x14ac:dyDescent="0.3">
      <c r="A841" s="3" t="s">
        <v>1852</v>
      </c>
      <c r="B841" s="3" t="str">
        <f>"042673018"</f>
        <v>042673018</v>
      </c>
      <c r="C841" s="3" t="s">
        <v>1853</v>
      </c>
      <c r="D841" s="3" t="s">
        <v>1854</v>
      </c>
      <c r="E841" s="3" t="s">
        <v>16</v>
      </c>
      <c r="F841" s="2">
        <v>43973</v>
      </c>
      <c r="G841" s="2">
        <v>44196</v>
      </c>
      <c r="H841" s="1357" t="s">
        <v>17</v>
      </c>
      <c r="I841" s="3" t="s">
        <v>41</v>
      </c>
      <c r="J841" s="3" t="s">
        <v>19</v>
      </c>
      <c r="K841" s="3"/>
    </row>
    <row r="842" spans="1:11" ht="57.6" x14ac:dyDescent="0.3">
      <c r="A842" s="3" t="s">
        <v>1852</v>
      </c>
      <c r="B842" s="3" t="str">
        <f>"042673020"</f>
        <v>042673020</v>
      </c>
      <c r="C842" s="3" t="s">
        <v>1853</v>
      </c>
      <c r="D842" s="3" t="s">
        <v>1855</v>
      </c>
      <c r="E842" s="3" t="s">
        <v>16</v>
      </c>
      <c r="F842" s="2">
        <v>43900</v>
      </c>
      <c r="G842" s="2"/>
      <c r="H842" s="1358" t="s">
        <v>37</v>
      </c>
      <c r="I842" s="1359" t="s">
        <v>18</v>
      </c>
      <c r="J842" s="3" t="s">
        <v>19</v>
      </c>
      <c r="K842" s="3"/>
    </row>
    <row r="843" spans="1:11" ht="43.2" x14ac:dyDescent="0.3">
      <c r="A843" s="3" t="s">
        <v>1852</v>
      </c>
      <c r="B843" s="3" t="str">
        <f>"042673044"</f>
        <v>042673044</v>
      </c>
      <c r="C843" s="3" t="s">
        <v>1853</v>
      </c>
      <c r="D843" s="3" t="s">
        <v>1856</v>
      </c>
      <c r="E843" s="3" t="s">
        <v>16</v>
      </c>
      <c r="F843" s="2">
        <v>43900</v>
      </c>
      <c r="G843" s="2"/>
      <c r="H843" s="1360" t="s">
        <v>17</v>
      </c>
      <c r="I843" s="1361" t="s">
        <v>18</v>
      </c>
      <c r="J843" s="3" t="s">
        <v>19</v>
      </c>
      <c r="K843" s="3"/>
    </row>
    <row r="844" spans="1:11" ht="43.2" x14ac:dyDescent="0.3">
      <c r="A844" s="3" t="s">
        <v>1852</v>
      </c>
      <c r="B844" s="3" t="str">
        <f>"042673057"</f>
        <v>042673057</v>
      </c>
      <c r="C844" s="3" t="s">
        <v>1853</v>
      </c>
      <c r="D844" s="3" t="s">
        <v>1857</v>
      </c>
      <c r="E844" s="3" t="s">
        <v>16</v>
      </c>
      <c r="F844" s="2">
        <v>43900</v>
      </c>
      <c r="G844" s="2"/>
      <c r="H844" s="1362" t="s">
        <v>37</v>
      </c>
      <c r="I844" s="1363" t="s">
        <v>18</v>
      </c>
      <c r="J844" s="3" t="s">
        <v>19</v>
      </c>
      <c r="K844" s="3"/>
    </row>
    <row r="845" spans="1:11" ht="43.2" x14ac:dyDescent="0.3">
      <c r="A845" s="3" t="s">
        <v>1858</v>
      </c>
      <c r="B845" s="3" t="str">
        <f>"034410050"</f>
        <v>034410050</v>
      </c>
      <c r="C845" s="3" t="s">
        <v>1853</v>
      </c>
      <c r="D845" s="3" t="s">
        <v>1859</v>
      </c>
      <c r="E845" s="3" t="s">
        <v>1798</v>
      </c>
      <c r="F845" s="2">
        <v>43864</v>
      </c>
      <c r="G845" s="2">
        <v>44135</v>
      </c>
      <c r="H845" s="1364" t="s">
        <v>17</v>
      </c>
      <c r="I845" s="3" t="s">
        <v>152</v>
      </c>
      <c r="J845" s="3" t="s">
        <v>19</v>
      </c>
      <c r="K845" s="3"/>
    </row>
    <row r="846" spans="1:11" ht="43.2" x14ac:dyDescent="0.3">
      <c r="A846" s="3" t="s">
        <v>1860</v>
      </c>
      <c r="B846" s="3" t="str">
        <f>"045220050"</f>
        <v>045220050</v>
      </c>
      <c r="C846" s="3" t="s">
        <v>495</v>
      </c>
      <c r="D846" s="3" t="s">
        <v>1861</v>
      </c>
      <c r="E846" s="3" t="s">
        <v>263</v>
      </c>
      <c r="F846" s="2">
        <v>44043</v>
      </c>
      <c r="G846" s="2">
        <v>44196</v>
      </c>
      <c r="H846" s="1365" t="s">
        <v>17</v>
      </c>
      <c r="I846" s="3" t="s">
        <v>41</v>
      </c>
      <c r="J846" s="3" t="s">
        <v>19</v>
      </c>
      <c r="K846" s="3"/>
    </row>
    <row r="847" spans="1:11" ht="43.2" x14ac:dyDescent="0.3">
      <c r="A847" s="3" t="s">
        <v>1862</v>
      </c>
      <c r="B847" s="3" t="str">
        <f>"043004151"</f>
        <v>043004151</v>
      </c>
      <c r="C847" s="3" t="s">
        <v>495</v>
      </c>
      <c r="D847" s="3" t="s">
        <v>1863</v>
      </c>
      <c r="E847" s="3" t="s">
        <v>107</v>
      </c>
      <c r="F847" s="2">
        <v>43318</v>
      </c>
      <c r="G847" s="2"/>
      <c r="H847" s="1366" t="s">
        <v>17</v>
      </c>
      <c r="I847" s="3" t="s">
        <v>41</v>
      </c>
      <c r="J847" s="3" t="s">
        <v>19</v>
      </c>
      <c r="K847" s="3"/>
    </row>
    <row r="848" spans="1:11" ht="43.2" x14ac:dyDescent="0.3">
      <c r="A848" s="3" t="s">
        <v>1864</v>
      </c>
      <c r="B848" s="3" t="str">
        <f>"044969032"</f>
        <v>044969032</v>
      </c>
      <c r="C848" s="3" t="s">
        <v>495</v>
      </c>
      <c r="D848" s="3" t="s">
        <v>1865</v>
      </c>
      <c r="E848" s="3" t="s">
        <v>70</v>
      </c>
      <c r="F848" s="2">
        <v>43522</v>
      </c>
      <c r="G848" s="2">
        <v>43879</v>
      </c>
      <c r="H848" s="1367" t="s">
        <v>17</v>
      </c>
      <c r="I848" s="3" t="s">
        <v>41</v>
      </c>
      <c r="J848" s="3" t="s">
        <v>19</v>
      </c>
      <c r="K848" s="3"/>
    </row>
    <row r="849" spans="1:11" ht="43.2" x14ac:dyDescent="0.3">
      <c r="A849" s="3" t="s">
        <v>1866</v>
      </c>
      <c r="B849" s="3" t="str">
        <f>"037769027"</f>
        <v>037769027</v>
      </c>
      <c r="C849" s="3" t="s">
        <v>1867</v>
      </c>
      <c r="D849" s="3" t="s">
        <v>1868</v>
      </c>
      <c r="E849" s="3" t="s">
        <v>659</v>
      </c>
      <c r="F849" s="2">
        <v>42080</v>
      </c>
      <c r="G849" s="2"/>
      <c r="H849" s="1368" t="s">
        <v>17</v>
      </c>
      <c r="I849" s="1369" t="s">
        <v>18</v>
      </c>
      <c r="J849" s="3" t="s">
        <v>19</v>
      </c>
      <c r="K849" s="3"/>
    </row>
    <row r="850" spans="1:11" ht="43.2" x14ac:dyDescent="0.3">
      <c r="A850" s="3" t="s">
        <v>1869</v>
      </c>
      <c r="B850" s="3" t="str">
        <f>"037274014"</f>
        <v>037274014</v>
      </c>
      <c r="C850" s="3" t="s">
        <v>1870</v>
      </c>
      <c r="D850" s="3" t="s">
        <v>1871</v>
      </c>
      <c r="E850" s="3" t="s">
        <v>1044</v>
      </c>
      <c r="F850" s="2">
        <v>43983</v>
      </c>
      <c r="G850" s="2"/>
      <c r="H850" s="1370" t="s">
        <v>17</v>
      </c>
      <c r="I850" s="1371" t="s">
        <v>18</v>
      </c>
      <c r="J850" s="3" t="s">
        <v>19</v>
      </c>
      <c r="K850" s="3"/>
    </row>
    <row r="851" spans="1:11" ht="43.2" x14ac:dyDescent="0.3">
      <c r="A851" s="3" t="s">
        <v>1869</v>
      </c>
      <c r="B851" s="3" t="str">
        <f>"037274026"</f>
        <v>037274026</v>
      </c>
      <c r="C851" s="3" t="s">
        <v>1870</v>
      </c>
      <c r="D851" s="3" t="s">
        <v>1872</v>
      </c>
      <c r="E851" s="3" t="s">
        <v>1044</v>
      </c>
      <c r="F851" s="2">
        <v>43983</v>
      </c>
      <c r="G851" s="2"/>
      <c r="H851" s="1372" t="s">
        <v>17</v>
      </c>
      <c r="I851" s="1373" t="s">
        <v>18</v>
      </c>
      <c r="J851" s="3" t="s">
        <v>19</v>
      </c>
      <c r="K851" s="3"/>
    </row>
    <row r="852" spans="1:11" ht="43.2" x14ac:dyDescent="0.3">
      <c r="A852" s="3" t="s">
        <v>1873</v>
      </c>
      <c r="B852" s="3" t="str">
        <f>"034393049"</f>
        <v>034393049</v>
      </c>
      <c r="C852" s="3" t="s">
        <v>1874</v>
      </c>
      <c r="D852" s="3" t="s">
        <v>1875</v>
      </c>
      <c r="E852" s="3" t="s">
        <v>1461</v>
      </c>
      <c r="F852" s="2">
        <v>44287</v>
      </c>
      <c r="G852" s="2">
        <v>44834</v>
      </c>
      <c r="H852" s="1374" t="s">
        <v>17</v>
      </c>
      <c r="I852" s="1375" t="s">
        <v>32</v>
      </c>
      <c r="J852" s="3" t="s">
        <v>19</v>
      </c>
      <c r="K852" s="3"/>
    </row>
    <row r="853" spans="1:11" ht="57.6" x14ac:dyDescent="0.3">
      <c r="A853" s="3" t="s">
        <v>1876</v>
      </c>
      <c r="B853" s="3" t="str">
        <f>"041496050"</f>
        <v>041496050</v>
      </c>
      <c r="C853" s="3" t="s">
        <v>1877</v>
      </c>
      <c r="D853" s="3" t="s">
        <v>1878</v>
      </c>
      <c r="E853" s="3" t="s">
        <v>425</v>
      </c>
      <c r="F853" s="2">
        <v>42835</v>
      </c>
      <c r="G853" s="2"/>
      <c r="H853" s="1376" t="s">
        <v>37</v>
      </c>
      <c r="I853" s="1377" t="s">
        <v>18</v>
      </c>
      <c r="J853" s="3" t="s">
        <v>19</v>
      </c>
      <c r="K853" s="3"/>
    </row>
    <row r="854" spans="1:11" ht="43.2" x14ac:dyDescent="0.3">
      <c r="A854" s="3" t="s">
        <v>1879</v>
      </c>
      <c r="B854" s="3" t="str">
        <f>"032840050"</f>
        <v>032840050</v>
      </c>
      <c r="C854" s="3" t="s">
        <v>876</v>
      </c>
      <c r="D854" s="3" t="s">
        <v>1880</v>
      </c>
      <c r="E854" s="3" t="s">
        <v>873</v>
      </c>
      <c r="F854" s="2">
        <v>42893</v>
      </c>
      <c r="G854" s="2"/>
      <c r="H854" s="1378" t="s">
        <v>37</v>
      </c>
      <c r="I854" s="1379" t="s">
        <v>32</v>
      </c>
      <c r="J854" s="3" t="s">
        <v>19</v>
      </c>
      <c r="K854" s="3"/>
    </row>
    <row r="855" spans="1:11" ht="43.2" x14ac:dyDescent="0.3">
      <c r="A855" s="3" t="s">
        <v>1879</v>
      </c>
      <c r="B855" s="3" t="str">
        <f>"032840047"</f>
        <v>032840047</v>
      </c>
      <c r="C855" s="3" t="s">
        <v>876</v>
      </c>
      <c r="D855" s="3" t="s">
        <v>1881</v>
      </c>
      <c r="E855" s="3" t="s">
        <v>873</v>
      </c>
      <c r="F855" s="2">
        <v>42893</v>
      </c>
      <c r="G855" s="2"/>
      <c r="H855" s="1380" t="s">
        <v>37</v>
      </c>
      <c r="I855" s="1381" t="s">
        <v>32</v>
      </c>
      <c r="J855" s="3" t="s">
        <v>19</v>
      </c>
      <c r="K855" s="3"/>
    </row>
    <row r="856" spans="1:11" ht="43.2" x14ac:dyDescent="0.3">
      <c r="A856" s="3" t="s">
        <v>1879</v>
      </c>
      <c r="B856" s="3" t="str">
        <f>"032840011"</f>
        <v>032840011</v>
      </c>
      <c r="C856" s="3" t="s">
        <v>876</v>
      </c>
      <c r="D856" s="3" t="s">
        <v>1882</v>
      </c>
      <c r="E856" s="3" t="s">
        <v>873</v>
      </c>
      <c r="F856" s="2">
        <v>42893</v>
      </c>
      <c r="G856" s="2"/>
      <c r="H856" s="1382" t="s">
        <v>17</v>
      </c>
      <c r="I856" s="1383" t="s">
        <v>32</v>
      </c>
      <c r="J856" s="3" t="s">
        <v>19</v>
      </c>
      <c r="K856" s="3"/>
    </row>
    <row r="857" spans="1:11" ht="43.2" x14ac:dyDescent="0.3">
      <c r="A857" s="3" t="s">
        <v>1883</v>
      </c>
      <c r="B857" s="3" t="str">
        <f>"024402051"</f>
        <v>024402051</v>
      </c>
      <c r="C857" s="3" t="s">
        <v>1884</v>
      </c>
      <c r="D857" s="3" t="s">
        <v>1885</v>
      </c>
      <c r="E857" s="3" t="s">
        <v>1886</v>
      </c>
      <c r="F857" s="2">
        <v>44111</v>
      </c>
      <c r="G857" s="2">
        <v>44127</v>
      </c>
      <c r="H857" s="1384" t="s">
        <v>17</v>
      </c>
      <c r="I857" s="3" t="s">
        <v>41</v>
      </c>
      <c r="J857" s="3" t="s">
        <v>19</v>
      </c>
      <c r="K857" s="3"/>
    </row>
    <row r="858" spans="1:11" ht="43.2" x14ac:dyDescent="0.3">
      <c r="A858" s="3" t="s">
        <v>1883</v>
      </c>
      <c r="B858" s="3" t="str">
        <f>"024402063"</f>
        <v>024402063</v>
      </c>
      <c r="C858" s="3" t="s">
        <v>1884</v>
      </c>
      <c r="D858" s="3" t="s">
        <v>1887</v>
      </c>
      <c r="E858" s="3" t="s">
        <v>1886</v>
      </c>
      <c r="F858" s="2">
        <v>44142</v>
      </c>
      <c r="G858" s="2">
        <v>44146</v>
      </c>
      <c r="H858" s="1385" t="s">
        <v>17</v>
      </c>
      <c r="I858" s="3" t="s">
        <v>41</v>
      </c>
      <c r="J858" s="3" t="s">
        <v>19</v>
      </c>
      <c r="K858" s="3"/>
    </row>
    <row r="859" spans="1:11" ht="43.2" x14ac:dyDescent="0.3">
      <c r="A859" s="3" t="s">
        <v>1883</v>
      </c>
      <c r="B859" s="3" t="str">
        <f>"024402137"</f>
        <v>024402137</v>
      </c>
      <c r="C859" s="3" t="s">
        <v>1884</v>
      </c>
      <c r="D859" s="3" t="s">
        <v>1888</v>
      </c>
      <c r="E859" s="3" t="s">
        <v>1886</v>
      </c>
      <c r="F859" s="2">
        <v>44116</v>
      </c>
      <c r="G859" s="2">
        <v>44133</v>
      </c>
      <c r="H859" s="1386" t="s">
        <v>17</v>
      </c>
      <c r="I859" s="3" t="s">
        <v>41</v>
      </c>
      <c r="J859" s="3" t="s">
        <v>19</v>
      </c>
      <c r="K859" s="3"/>
    </row>
    <row r="860" spans="1:11" ht="57.6" x14ac:dyDescent="0.3">
      <c r="A860" s="3" t="s">
        <v>1889</v>
      </c>
      <c r="B860" s="3" t="str">
        <f>"036211023"</f>
        <v>036211023</v>
      </c>
      <c r="C860" s="3" t="s">
        <v>1890</v>
      </c>
      <c r="D860" s="3" t="s">
        <v>1891</v>
      </c>
      <c r="E860" s="3" t="s">
        <v>191</v>
      </c>
      <c r="F860" s="2">
        <v>41795</v>
      </c>
      <c r="G860" s="2"/>
      <c r="H860" s="1387" t="s">
        <v>17</v>
      </c>
      <c r="I860" s="1388" t="s">
        <v>32</v>
      </c>
      <c r="J860" s="3" t="s">
        <v>19</v>
      </c>
      <c r="K860" s="3"/>
    </row>
    <row r="861" spans="1:11" ht="57.6" x14ac:dyDescent="0.3">
      <c r="A861" s="3" t="s">
        <v>1889</v>
      </c>
      <c r="B861" s="3" t="str">
        <f>"036211011"</f>
        <v>036211011</v>
      </c>
      <c r="C861" s="3" t="s">
        <v>1890</v>
      </c>
      <c r="D861" s="3" t="s">
        <v>1892</v>
      </c>
      <c r="E861" s="3" t="s">
        <v>191</v>
      </c>
      <c r="F861" s="2">
        <v>42736</v>
      </c>
      <c r="G861" s="2"/>
      <c r="H861" s="1389" t="s">
        <v>17</v>
      </c>
      <c r="I861" s="1390" t="s">
        <v>18</v>
      </c>
      <c r="J861" s="3" t="s">
        <v>19</v>
      </c>
      <c r="K861" s="3"/>
    </row>
    <row r="862" spans="1:11" ht="43.2" x14ac:dyDescent="0.3">
      <c r="A862" s="3" t="s">
        <v>1893</v>
      </c>
      <c r="B862" s="3" t="str">
        <f>"034078143"</f>
        <v>034078143</v>
      </c>
      <c r="C862" s="3" t="s">
        <v>1383</v>
      </c>
      <c r="D862" s="3" t="s">
        <v>1894</v>
      </c>
      <c r="E862" s="3" t="s">
        <v>1895</v>
      </c>
      <c r="F862" s="2">
        <v>40757</v>
      </c>
      <c r="G862" s="2"/>
      <c r="H862" s="1391" t="s">
        <v>37</v>
      </c>
      <c r="I862" s="1392" t="s">
        <v>18</v>
      </c>
      <c r="J862" s="3" t="s">
        <v>19</v>
      </c>
      <c r="K862" s="3"/>
    </row>
    <row r="863" spans="1:11" ht="43.2" x14ac:dyDescent="0.3">
      <c r="A863" s="3" t="s">
        <v>1896</v>
      </c>
      <c r="B863" s="3" t="str">
        <f>"040212021"</f>
        <v>040212021</v>
      </c>
      <c r="C863" s="3" t="s">
        <v>1897</v>
      </c>
      <c r="D863" s="3" t="s">
        <v>1898</v>
      </c>
      <c r="E863" s="3" t="s">
        <v>83</v>
      </c>
      <c r="F863" s="2">
        <v>43683</v>
      </c>
      <c r="G863" s="2"/>
      <c r="H863" s="1393" t="s">
        <v>17</v>
      </c>
      <c r="I863" s="3" t="s">
        <v>41</v>
      </c>
      <c r="J863" s="3" t="s">
        <v>19</v>
      </c>
      <c r="K863" s="3"/>
    </row>
    <row r="864" spans="1:11" ht="43.2" x14ac:dyDescent="0.3">
      <c r="A864" s="3" t="s">
        <v>1899</v>
      </c>
      <c r="B864" s="3" t="str">
        <f>"040535041"</f>
        <v>040535041</v>
      </c>
      <c r="C864" s="3" t="s">
        <v>1897</v>
      </c>
      <c r="D864" s="3" t="s">
        <v>1900</v>
      </c>
      <c r="E864" s="3" t="s">
        <v>107</v>
      </c>
      <c r="F864" s="2">
        <v>44002</v>
      </c>
      <c r="G864" s="2"/>
      <c r="H864" s="1394" t="s">
        <v>17</v>
      </c>
      <c r="I864" s="3" t="s">
        <v>41</v>
      </c>
      <c r="J864" s="3" t="s">
        <v>19</v>
      </c>
      <c r="K864" s="3"/>
    </row>
    <row r="865" spans="1:11" ht="57.6" x14ac:dyDescent="0.3">
      <c r="A865" s="3" t="s">
        <v>1901</v>
      </c>
      <c r="B865" s="3" t="str">
        <f>"037421017"</f>
        <v>037421017</v>
      </c>
      <c r="C865" s="3" t="s">
        <v>1902</v>
      </c>
      <c r="D865" s="3" t="s">
        <v>1903</v>
      </c>
      <c r="E865" s="3" t="s">
        <v>1658</v>
      </c>
      <c r="F865" s="2">
        <v>43282</v>
      </c>
      <c r="G865" s="2"/>
      <c r="H865" s="1395" t="s">
        <v>17</v>
      </c>
      <c r="I865" s="1396" t="s">
        <v>18</v>
      </c>
      <c r="J865" s="3" t="s">
        <v>19</v>
      </c>
      <c r="K865" s="3"/>
    </row>
    <row r="866" spans="1:11" ht="57.6" x14ac:dyDescent="0.3">
      <c r="A866" s="3" t="s">
        <v>1901</v>
      </c>
      <c r="B866" s="3" t="str">
        <f>"037421031"</f>
        <v>037421031</v>
      </c>
      <c r="C866" s="3" t="s">
        <v>1902</v>
      </c>
      <c r="D866" s="3" t="s">
        <v>1904</v>
      </c>
      <c r="E866" s="3" t="s">
        <v>1658</v>
      </c>
      <c r="F866" s="2">
        <v>43282</v>
      </c>
      <c r="G866" s="2"/>
      <c r="H866" s="1397" t="s">
        <v>17</v>
      </c>
      <c r="I866" s="1398" t="s">
        <v>18</v>
      </c>
      <c r="J866" s="3" t="s">
        <v>19</v>
      </c>
      <c r="K866" s="3"/>
    </row>
    <row r="867" spans="1:11" ht="57.6" x14ac:dyDescent="0.3">
      <c r="A867" s="3" t="s">
        <v>1901</v>
      </c>
      <c r="B867" s="3" t="str">
        <f>"037421056"</f>
        <v>037421056</v>
      </c>
      <c r="C867" s="3" t="s">
        <v>1902</v>
      </c>
      <c r="D867" s="3" t="s">
        <v>1905</v>
      </c>
      <c r="E867" s="3" t="s">
        <v>1658</v>
      </c>
      <c r="F867" s="2">
        <v>43282</v>
      </c>
      <c r="G867" s="2"/>
      <c r="H867" s="1399" t="s">
        <v>17</v>
      </c>
      <c r="I867" s="1400" t="s">
        <v>18</v>
      </c>
      <c r="J867" s="3" t="s">
        <v>19</v>
      </c>
      <c r="K867" s="3"/>
    </row>
    <row r="868" spans="1:11" ht="43.2" x14ac:dyDescent="0.3">
      <c r="A868" s="3" t="s">
        <v>1906</v>
      </c>
      <c r="B868" s="3" t="str">
        <f>"044631226"</f>
        <v>044631226</v>
      </c>
      <c r="C868" s="3" t="s">
        <v>1907</v>
      </c>
      <c r="D868" s="3" t="s">
        <v>1908</v>
      </c>
      <c r="E868" s="3" t="s">
        <v>303</v>
      </c>
      <c r="F868" s="2">
        <v>44046</v>
      </c>
      <c r="G868" s="2">
        <v>44196</v>
      </c>
      <c r="H868" s="1401" t="s">
        <v>17</v>
      </c>
      <c r="I868" s="3" t="s">
        <v>41</v>
      </c>
      <c r="J868" s="3" t="s">
        <v>19</v>
      </c>
      <c r="K868" s="3"/>
    </row>
    <row r="869" spans="1:11" ht="43.2" x14ac:dyDescent="0.3">
      <c r="A869" s="3" t="s">
        <v>1906</v>
      </c>
      <c r="B869" s="3" t="str">
        <f>"044631378"</f>
        <v>044631378</v>
      </c>
      <c r="C869" s="3" t="s">
        <v>1907</v>
      </c>
      <c r="D869" s="3" t="s">
        <v>1909</v>
      </c>
      <c r="E869" s="3" t="s">
        <v>303</v>
      </c>
      <c r="F869" s="2">
        <v>44046</v>
      </c>
      <c r="G869" s="2">
        <v>44196</v>
      </c>
      <c r="H869" s="1402" t="s">
        <v>17</v>
      </c>
      <c r="I869" s="3" t="s">
        <v>41</v>
      </c>
      <c r="J869" s="3" t="s">
        <v>19</v>
      </c>
      <c r="K869" s="3"/>
    </row>
    <row r="870" spans="1:11" ht="72" x14ac:dyDescent="0.3">
      <c r="A870" s="3" t="s">
        <v>1910</v>
      </c>
      <c r="B870" s="3" t="str">
        <f>"043840014"</f>
        <v>043840014</v>
      </c>
      <c r="C870" s="3" t="s">
        <v>1911</v>
      </c>
      <c r="D870" s="3" t="s">
        <v>1912</v>
      </c>
      <c r="E870" s="3" t="s">
        <v>1913</v>
      </c>
      <c r="F870" s="2">
        <v>43647</v>
      </c>
      <c r="G870" s="2"/>
      <c r="H870" s="1403" t="s">
        <v>37</v>
      </c>
      <c r="I870" s="1404" t="s">
        <v>18</v>
      </c>
      <c r="J870" s="3" t="s">
        <v>19</v>
      </c>
      <c r="K870" s="3"/>
    </row>
    <row r="871" spans="1:11" ht="43.2" x14ac:dyDescent="0.3">
      <c r="A871" s="3" t="s">
        <v>1914</v>
      </c>
      <c r="B871" s="3" t="str">
        <f>"044781300"</f>
        <v>044781300</v>
      </c>
      <c r="C871" s="3" t="s">
        <v>1915</v>
      </c>
      <c r="D871" s="3" t="s">
        <v>1916</v>
      </c>
      <c r="E871" s="3" t="s">
        <v>107</v>
      </c>
      <c r="F871" s="2">
        <v>44111</v>
      </c>
      <c r="G871" s="2"/>
      <c r="H871" s="1405" t="s">
        <v>17</v>
      </c>
      <c r="I871" s="3" t="s">
        <v>41</v>
      </c>
      <c r="J871" s="3" t="s">
        <v>19</v>
      </c>
      <c r="K871" s="3"/>
    </row>
    <row r="872" spans="1:11" ht="43.2" x14ac:dyDescent="0.3">
      <c r="A872" s="3" t="s">
        <v>1917</v>
      </c>
      <c r="B872" s="3" t="str">
        <f>"044765535"</f>
        <v>044765535</v>
      </c>
      <c r="C872" s="3" t="s">
        <v>1915</v>
      </c>
      <c r="D872" s="3" t="s">
        <v>1918</v>
      </c>
      <c r="E872" s="3" t="s">
        <v>27</v>
      </c>
      <c r="F872" s="2">
        <v>44047</v>
      </c>
      <c r="G872" s="2">
        <v>44104</v>
      </c>
      <c r="H872" s="1406" t="s">
        <v>17</v>
      </c>
      <c r="I872" s="3" t="s">
        <v>41</v>
      </c>
      <c r="J872" s="3" t="s">
        <v>19</v>
      </c>
      <c r="K872" s="3"/>
    </row>
    <row r="873" spans="1:11" ht="43.2" x14ac:dyDescent="0.3">
      <c r="A873" s="3" t="s">
        <v>1919</v>
      </c>
      <c r="B873" s="3" t="str">
        <f>"047147018"</f>
        <v>047147018</v>
      </c>
      <c r="C873" s="3"/>
      <c r="D873" s="3" t="s">
        <v>1920</v>
      </c>
      <c r="E873" s="3" t="s">
        <v>99</v>
      </c>
      <c r="F873" s="2">
        <v>44255</v>
      </c>
      <c r="G873" s="2">
        <v>44408</v>
      </c>
      <c r="H873" s="1407" t="s">
        <v>17</v>
      </c>
      <c r="I873" s="3" t="s">
        <v>41</v>
      </c>
      <c r="J873" s="3" t="s">
        <v>19</v>
      </c>
      <c r="K873" s="3"/>
    </row>
    <row r="874" spans="1:11" ht="43.2" x14ac:dyDescent="0.3">
      <c r="A874" s="3" t="s">
        <v>1921</v>
      </c>
      <c r="B874" s="3" t="str">
        <f>"044716037"</f>
        <v>044716037</v>
      </c>
      <c r="C874" s="3" t="s">
        <v>1922</v>
      </c>
      <c r="D874" s="3" t="s">
        <v>1923</v>
      </c>
      <c r="E874" s="3" t="s">
        <v>481</v>
      </c>
      <c r="F874" s="2">
        <v>43848</v>
      </c>
      <c r="G874" s="2">
        <v>43907</v>
      </c>
      <c r="H874" s="1408" t="s">
        <v>17</v>
      </c>
      <c r="I874" s="3" t="s">
        <v>41</v>
      </c>
      <c r="J874" s="3" t="s">
        <v>19</v>
      </c>
      <c r="K874" s="3"/>
    </row>
    <row r="875" spans="1:11" ht="43.2" x14ac:dyDescent="0.3">
      <c r="A875" s="3" t="s">
        <v>1924</v>
      </c>
      <c r="B875" s="3" t="str">
        <f>"044272045"</f>
        <v>044272045</v>
      </c>
      <c r="C875" s="3" t="s">
        <v>1922</v>
      </c>
      <c r="D875" s="3" t="s">
        <v>1925</v>
      </c>
      <c r="E875" s="3" t="s">
        <v>27</v>
      </c>
      <c r="F875" s="2">
        <v>44093</v>
      </c>
      <c r="G875" s="2">
        <v>44227</v>
      </c>
      <c r="H875" s="1409" t="s">
        <v>17</v>
      </c>
      <c r="I875" s="3" t="s">
        <v>1259</v>
      </c>
      <c r="J875" s="3" t="s">
        <v>19</v>
      </c>
      <c r="K875" s="3"/>
    </row>
    <row r="876" spans="1:11" ht="43.2" x14ac:dyDescent="0.3">
      <c r="A876" s="3" t="s">
        <v>1926</v>
      </c>
      <c r="B876" s="3" t="str">
        <f>"039252085"</f>
        <v>039252085</v>
      </c>
      <c r="C876" s="3" t="s">
        <v>1927</v>
      </c>
      <c r="D876" s="3" t="s">
        <v>1928</v>
      </c>
      <c r="E876" s="3" t="s">
        <v>56</v>
      </c>
      <c r="F876" s="2">
        <v>44095</v>
      </c>
      <c r="G876" s="2">
        <v>44469</v>
      </c>
      <c r="H876" s="1410" t="s">
        <v>17</v>
      </c>
      <c r="I876" s="3" t="s">
        <v>41</v>
      </c>
      <c r="J876" s="3" t="s">
        <v>19</v>
      </c>
      <c r="K876" s="3"/>
    </row>
    <row r="877" spans="1:11" ht="57.6" x14ac:dyDescent="0.3">
      <c r="A877" s="3" t="s">
        <v>1929</v>
      </c>
      <c r="B877" s="3" t="str">
        <f>"041298023"</f>
        <v>041298023</v>
      </c>
      <c r="C877" s="3" t="s">
        <v>1930</v>
      </c>
      <c r="D877" s="3" t="s">
        <v>1931</v>
      </c>
      <c r="E877" s="3" t="s">
        <v>1932</v>
      </c>
      <c r="F877" s="2">
        <v>42324</v>
      </c>
      <c r="G877" s="2"/>
      <c r="H877" s="1411" t="s">
        <v>17</v>
      </c>
      <c r="I877" s="1412" t="s">
        <v>18</v>
      </c>
      <c r="J877" s="3" t="s">
        <v>19</v>
      </c>
      <c r="K877" s="3"/>
    </row>
    <row r="878" spans="1:11" ht="43.2" x14ac:dyDescent="0.3">
      <c r="A878" s="3" t="s">
        <v>1933</v>
      </c>
      <c r="B878" s="3" t="str">
        <f>"029914025"</f>
        <v>029914025</v>
      </c>
      <c r="C878" s="3" t="s">
        <v>1934</v>
      </c>
      <c r="D878" s="3" t="s">
        <v>1935</v>
      </c>
      <c r="E878" s="3" t="s">
        <v>1302</v>
      </c>
      <c r="F878" s="2">
        <v>40996</v>
      </c>
      <c r="G878" s="2"/>
      <c r="H878" s="1413" t="s">
        <v>37</v>
      </c>
      <c r="I878" s="1414" t="s">
        <v>18</v>
      </c>
      <c r="J878" s="3" t="s">
        <v>19</v>
      </c>
      <c r="K878" s="3"/>
    </row>
    <row r="879" spans="1:11" ht="57.6" x14ac:dyDescent="0.3">
      <c r="A879" s="3" t="s">
        <v>1936</v>
      </c>
      <c r="B879" s="3" t="str">
        <f>"026964015"</f>
        <v>026964015</v>
      </c>
      <c r="C879" s="3" t="s">
        <v>1937</v>
      </c>
      <c r="D879" s="3" t="s">
        <v>1938</v>
      </c>
      <c r="E879" s="3" t="s">
        <v>1939</v>
      </c>
      <c r="F879" s="2">
        <v>42905</v>
      </c>
      <c r="G879" s="2"/>
      <c r="H879" s="1415" t="s">
        <v>37</v>
      </c>
      <c r="I879" s="3" t="s">
        <v>41</v>
      </c>
      <c r="J879" s="3" t="s">
        <v>156</v>
      </c>
      <c r="K879" s="3"/>
    </row>
    <row r="880" spans="1:11" ht="57.6" x14ac:dyDescent="0.3">
      <c r="A880" s="3" t="s">
        <v>1940</v>
      </c>
      <c r="B880" s="3" t="str">
        <f>"015148087"</f>
        <v>015148087</v>
      </c>
      <c r="C880" s="3" t="s">
        <v>1388</v>
      </c>
      <c r="D880" s="3" t="s">
        <v>1941</v>
      </c>
      <c r="E880" s="3" t="s">
        <v>412</v>
      </c>
      <c r="F880" s="2">
        <v>43404</v>
      </c>
      <c r="G880" s="2"/>
      <c r="H880" s="1416" t="s">
        <v>37</v>
      </c>
      <c r="I880" s="1417" t="s">
        <v>18</v>
      </c>
      <c r="J880" s="3" t="s">
        <v>156</v>
      </c>
      <c r="K880" s="3"/>
    </row>
    <row r="881" spans="1:11" ht="43.2" x14ac:dyDescent="0.3">
      <c r="A881" s="3" t="s">
        <v>1940</v>
      </c>
      <c r="B881" s="3" t="str">
        <f>"015148099"</f>
        <v>015148099</v>
      </c>
      <c r="C881" s="3" t="s">
        <v>1388</v>
      </c>
      <c r="D881" s="3" t="s">
        <v>1942</v>
      </c>
      <c r="E881" s="3" t="s">
        <v>412</v>
      </c>
      <c r="F881" s="2">
        <v>43437</v>
      </c>
      <c r="G881" s="2"/>
      <c r="H881" s="1418" t="s">
        <v>37</v>
      </c>
      <c r="I881" s="1419" t="s">
        <v>18</v>
      </c>
      <c r="J881" s="3" t="s">
        <v>19</v>
      </c>
      <c r="K881" s="3"/>
    </row>
    <row r="882" spans="1:11" ht="57.6" x14ac:dyDescent="0.3">
      <c r="A882" s="3" t="s">
        <v>1940</v>
      </c>
      <c r="B882" s="3" t="str">
        <f>"015148137"</f>
        <v>015148137</v>
      </c>
      <c r="C882" s="3" t="s">
        <v>1388</v>
      </c>
      <c r="D882" s="3" t="s">
        <v>1943</v>
      </c>
      <c r="E882" s="3" t="s">
        <v>412</v>
      </c>
      <c r="F882" s="2">
        <v>43024</v>
      </c>
      <c r="G882" s="2"/>
      <c r="H882" s="1420" t="s">
        <v>37</v>
      </c>
      <c r="I882" s="1421" t="s">
        <v>18</v>
      </c>
      <c r="J882" s="3" t="s">
        <v>156</v>
      </c>
      <c r="K882" s="3"/>
    </row>
    <row r="883" spans="1:11" ht="57.6" x14ac:dyDescent="0.3">
      <c r="A883" s="3" t="s">
        <v>1940</v>
      </c>
      <c r="B883" s="3" t="str">
        <f>"015148149"</f>
        <v>015148149</v>
      </c>
      <c r="C883" s="3" t="s">
        <v>1388</v>
      </c>
      <c r="D883" s="3" t="s">
        <v>1944</v>
      </c>
      <c r="E883" s="3" t="s">
        <v>412</v>
      </c>
      <c r="F883" s="2">
        <v>43146</v>
      </c>
      <c r="G883" s="2"/>
      <c r="H883" s="1422" t="s">
        <v>37</v>
      </c>
      <c r="I883" s="1423" t="s">
        <v>18</v>
      </c>
      <c r="J883" s="3" t="s">
        <v>156</v>
      </c>
      <c r="K883" s="3"/>
    </row>
    <row r="884" spans="1:11" ht="86.4" x14ac:dyDescent="0.3">
      <c r="A884" s="3" t="s">
        <v>1945</v>
      </c>
      <c r="B884" s="3" t="str">
        <f>"025197031"</f>
        <v>025197031</v>
      </c>
      <c r="C884" s="3" t="s">
        <v>1731</v>
      </c>
      <c r="D884" s="3" t="s">
        <v>1946</v>
      </c>
      <c r="E884" s="3" t="s">
        <v>412</v>
      </c>
      <c r="F884" s="2">
        <v>42857</v>
      </c>
      <c r="G884" s="2"/>
      <c r="H884" s="1424" t="s">
        <v>17</v>
      </c>
      <c r="I884" s="1425" t="s">
        <v>18</v>
      </c>
      <c r="J884" s="3" t="s">
        <v>19</v>
      </c>
      <c r="K884" s="3"/>
    </row>
    <row r="885" spans="1:11" ht="43.2" x14ac:dyDescent="0.3">
      <c r="A885" s="3" t="s">
        <v>1947</v>
      </c>
      <c r="B885" s="3" t="str">
        <f>"032644066"</f>
        <v>032644066</v>
      </c>
      <c r="C885" s="3" t="s">
        <v>1948</v>
      </c>
      <c r="D885" s="3" t="s">
        <v>1949</v>
      </c>
      <c r="E885" s="3" t="s">
        <v>1950</v>
      </c>
      <c r="F885" s="2">
        <v>43465</v>
      </c>
      <c r="G885" s="2"/>
      <c r="H885" s="1426" t="s">
        <v>17</v>
      </c>
      <c r="I885" s="1427" t="s">
        <v>18</v>
      </c>
      <c r="J885" s="3" t="s">
        <v>19</v>
      </c>
      <c r="K885" s="3"/>
    </row>
    <row r="886" spans="1:11" ht="57.6" x14ac:dyDescent="0.3">
      <c r="A886" s="3" t="s">
        <v>1951</v>
      </c>
      <c r="B886" s="3" t="str">
        <f>"036387013"</f>
        <v>036387013</v>
      </c>
      <c r="C886" s="3" t="s">
        <v>1952</v>
      </c>
      <c r="D886" s="3" t="s">
        <v>1953</v>
      </c>
      <c r="E886" s="3" t="s">
        <v>861</v>
      </c>
      <c r="F886" s="2">
        <v>41821</v>
      </c>
      <c r="G886" s="2"/>
      <c r="H886" s="1428" t="s">
        <v>17</v>
      </c>
      <c r="I886" s="1429" t="s">
        <v>18</v>
      </c>
      <c r="J886" s="3" t="s">
        <v>19</v>
      </c>
      <c r="K886" s="3"/>
    </row>
    <row r="887" spans="1:11" ht="57.6" x14ac:dyDescent="0.3">
      <c r="A887" s="3" t="s">
        <v>1954</v>
      </c>
      <c r="B887" s="3" t="str">
        <f>"042416014"</f>
        <v>042416014</v>
      </c>
      <c r="C887" s="3" t="s">
        <v>1955</v>
      </c>
      <c r="D887" s="3" t="s">
        <v>1956</v>
      </c>
      <c r="E887" s="3" t="s">
        <v>270</v>
      </c>
      <c r="F887" s="2">
        <v>44049</v>
      </c>
      <c r="G887" s="2">
        <v>44561</v>
      </c>
      <c r="H887" s="1430" t="s">
        <v>17</v>
      </c>
      <c r="I887" s="3" t="s">
        <v>38</v>
      </c>
      <c r="J887" s="3" t="s">
        <v>19</v>
      </c>
      <c r="K887" s="3"/>
    </row>
    <row r="888" spans="1:11" ht="57.6" x14ac:dyDescent="0.3">
      <c r="A888" s="3" t="s">
        <v>1954</v>
      </c>
      <c r="B888" s="3" t="str">
        <f>"042416038"</f>
        <v>042416038</v>
      </c>
      <c r="C888" s="3" t="s">
        <v>1955</v>
      </c>
      <c r="D888" s="3" t="s">
        <v>1957</v>
      </c>
      <c r="E888" s="3" t="s">
        <v>270</v>
      </c>
      <c r="F888" s="2">
        <v>44049</v>
      </c>
      <c r="G888" s="2">
        <v>44561</v>
      </c>
      <c r="H888" s="1431" t="s">
        <v>17</v>
      </c>
      <c r="I888" s="3" t="s">
        <v>38</v>
      </c>
      <c r="J888" s="3" t="s">
        <v>19</v>
      </c>
      <c r="K888" s="3"/>
    </row>
    <row r="889" spans="1:11" ht="43.2" x14ac:dyDescent="0.3">
      <c r="A889" s="3" t="s">
        <v>1958</v>
      </c>
      <c r="B889" s="3" t="str">
        <f>"023417090"</f>
        <v>023417090</v>
      </c>
      <c r="C889" s="3" t="s">
        <v>1874</v>
      </c>
      <c r="D889" s="3" t="s">
        <v>1959</v>
      </c>
      <c r="E889" s="3" t="s">
        <v>1287</v>
      </c>
      <c r="F889" s="2">
        <v>43032</v>
      </c>
      <c r="G889" s="2"/>
      <c r="H889" s="1432" t="s">
        <v>17</v>
      </c>
      <c r="I889" s="1433" t="s">
        <v>18</v>
      </c>
      <c r="J889" s="3" t="s">
        <v>19</v>
      </c>
      <c r="K889" s="3"/>
    </row>
    <row r="890" spans="1:11" ht="57.6" x14ac:dyDescent="0.3">
      <c r="A890" s="3" t="s">
        <v>1960</v>
      </c>
      <c r="B890" s="3" t="str">
        <f>"033631019"</f>
        <v>033631019</v>
      </c>
      <c r="C890" s="3" t="s">
        <v>1770</v>
      </c>
      <c r="D890" s="3" t="s">
        <v>1961</v>
      </c>
      <c r="E890" s="3" t="s">
        <v>1962</v>
      </c>
      <c r="F890" s="2">
        <v>43320</v>
      </c>
      <c r="G890" s="2"/>
      <c r="H890" s="1434" t="s">
        <v>17</v>
      </c>
      <c r="I890" s="1435" t="s">
        <v>32</v>
      </c>
      <c r="J890" s="3" t="s">
        <v>156</v>
      </c>
      <c r="K890" s="3"/>
    </row>
    <row r="891" spans="1:11" ht="57.6" x14ac:dyDescent="0.3">
      <c r="A891" s="3" t="s">
        <v>1960</v>
      </c>
      <c r="B891" s="3" t="str">
        <f>"033631021"</f>
        <v>033631021</v>
      </c>
      <c r="C891" s="3" t="s">
        <v>1770</v>
      </c>
      <c r="D891" s="3" t="s">
        <v>1963</v>
      </c>
      <c r="E891" s="3" t="s">
        <v>1962</v>
      </c>
      <c r="F891" s="2">
        <v>43320</v>
      </c>
      <c r="G891" s="2"/>
      <c r="H891" s="1436" t="s">
        <v>17</v>
      </c>
      <c r="I891" s="1437" t="s">
        <v>32</v>
      </c>
      <c r="J891" s="3" t="s">
        <v>156</v>
      </c>
      <c r="K891" s="3"/>
    </row>
    <row r="892" spans="1:11" ht="43.2" x14ac:dyDescent="0.3">
      <c r="A892" s="3" t="s">
        <v>1964</v>
      </c>
      <c r="B892" s="3" t="str">
        <f>"044976025"</f>
        <v>044976025</v>
      </c>
      <c r="C892" s="3" t="s">
        <v>1965</v>
      </c>
      <c r="D892" s="3" t="s">
        <v>1966</v>
      </c>
      <c r="E892" s="3" t="s">
        <v>122</v>
      </c>
      <c r="F892" s="2">
        <v>44180</v>
      </c>
      <c r="G892" s="2">
        <v>44196</v>
      </c>
      <c r="H892" s="1438" t="s">
        <v>17</v>
      </c>
      <c r="I892" s="3" t="s">
        <v>41</v>
      </c>
      <c r="J892" s="3" t="s">
        <v>19</v>
      </c>
      <c r="K892" s="3"/>
    </row>
    <row r="893" spans="1:11" ht="43.2" x14ac:dyDescent="0.3">
      <c r="A893" s="3" t="s">
        <v>1964</v>
      </c>
      <c r="B893" s="3" t="str">
        <f>"044976088"</f>
        <v>044976088</v>
      </c>
      <c r="C893" s="3" t="s">
        <v>1965</v>
      </c>
      <c r="D893" s="3" t="s">
        <v>1967</v>
      </c>
      <c r="E893" s="3" t="s">
        <v>122</v>
      </c>
      <c r="F893" s="2">
        <v>44074</v>
      </c>
      <c r="G893" s="2">
        <v>44196</v>
      </c>
      <c r="H893" s="1439" t="s">
        <v>17</v>
      </c>
      <c r="I893" s="3" t="s">
        <v>41</v>
      </c>
      <c r="J893" s="3" t="s">
        <v>19</v>
      </c>
      <c r="K893" s="3"/>
    </row>
    <row r="894" spans="1:11" ht="43.2" x14ac:dyDescent="0.3">
      <c r="A894" s="3" t="s">
        <v>1968</v>
      </c>
      <c r="B894" s="3" t="str">
        <f>"024249056"</f>
        <v>024249056</v>
      </c>
      <c r="C894" s="3" t="s">
        <v>805</v>
      </c>
      <c r="D894" s="3" t="s">
        <v>1969</v>
      </c>
      <c r="E894" s="3" t="s">
        <v>412</v>
      </c>
      <c r="F894" s="2">
        <v>43382</v>
      </c>
      <c r="G894" s="2"/>
      <c r="H894" s="1440" t="s">
        <v>17</v>
      </c>
      <c r="I894" s="1441" t="s">
        <v>18</v>
      </c>
      <c r="J894" s="3" t="s">
        <v>19</v>
      </c>
      <c r="K894" s="3"/>
    </row>
    <row r="895" spans="1:11" ht="43.2" x14ac:dyDescent="0.3">
      <c r="A895" s="3" t="s">
        <v>1970</v>
      </c>
      <c r="B895" s="3" t="str">
        <f>"037168046"</f>
        <v>037168046</v>
      </c>
      <c r="C895" s="3" t="s">
        <v>1971</v>
      </c>
      <c r="D895" s="3" t="s">
        <v>1972</v>
      </c>
      <c r="E895" s="3" t="s">
        <v>99</v>
      </c>
      <c r="F895" s="2">
        <v>44197</v>
      </c>
      <c r="G895" s="2">
        <v>44407</v>
      </c>
      <c r="H895" s="1442" t="s">
        <v>17</v>
      </c>
      <c r="I895" s="3" t="s">
        <v>41</v>
      </c>
      <c r="J895" s="3" t="s">
        <v>19</v>
      </c>
      <c r="K895" s="3"/>
    </row>
    <row r="896" spans="1:11" ht="43.2" x14ac:dyDescent="0.3">
      <c r="A896" s="3" t="s">
        <v>1973</v>
      </c>
      <c r="B896" s="3" t="str">
        <f>"033907027"</f>
        <v>033907027</v>
      </c>
      <c r="C896" s="3" t="s">
        <v>1974</v>
      </c>
      <c r="D896" s="3" t="s">
        <v>1975</v>
      </c>
      <c r="E896" s="3" t="s">
        <v>576</v>
      </c>
      <c r="F896" s="2">
        <v>43983</v>
      </c>
      <c r="G896" s="2">
        <v>44256</v>
      </c>
      <c r="H896" s="1443" t="s">
        <v>37</v>
      </c>
      <c r="I896" s="1444" t="s">
        <v>32</v>
      </c>
      <c r="J896" s="3" t="s">
        <v>19</v>
      </c>
      <c r="K896" s="3"/>
    </row>
    <row r="897" spans="1:11" ht="43.2" x14ac:dyDescent="0.3">
      <c r="A897" s="3" t="s">
        <v>1976</v>
      </c>
      <c r="B897" s="3" t="str">
        <f>"036489019"</f>
        <v>036489019</v>
      </c>
      <c r="C897" s="3" t="s">
        <v>1977</v>
      </c>
      <c r="D897" s="3" t="s">
        <v>1978</v>
      </c>
      <c r="E897" s="3" t="s">
        <v>1281</v>
      </c>
      <c r="F897" s="2">
        <v>43344</v>
      </c>
      <c r="G897" s="2">
        <v>44377</v>
      </c>
      <c r="H897" s="1445" t="s">
        <v>37</v>
      </c>
      <c r="I897" s="3" t="s">
        <v>41</v>
      </c>
      <c r="J897" s="3" t="s">
        <v>19</v>
      </c>
      <c r="K897" s="3"/>
    </row>
    <row r="898" spans="1:11" ht="43.2" x14ac:dyDescent="0.3">
      <c r="A898" s="3" t="s">
        <v>1979</v>
      </c>
      <c r="B898" s="3" t="str">
        <f>"029966013"</f>
        <v>029966013</v>
      </c>
      <c r="C898" s="3" t="s">
        <v>1980</v>
      </c>
      <c r="D898" s="3" t="s">
        <v>1981</v>
      </c>
      <c r="E898" s="3" t="s">
        <v>1281</v>
      </c>
      <c r="F898" s="2">
        <v>43586</v>
      </c>
      <c r="G898" s="2">
        <v>44377</v>
      </c>
      <c r="H898" s="1446" t="s">
        <v>17</v>
      </c>
      <c r="I898" s="3" t="s">
        <v>41</v>
      </c>
      <c r="J898" s="3" t="s">
        <v>19</v>
      </c>
      <c r="K898" s="3"/>
    </row>
    <row r="899" spans="1:11" ht="43.2" x14ac:dyDescent="0.3">
      <c r="A899" s="3" t="s">
        <v>1982</v>
      </c>
      <c r="B899" s="3" t="str">
        <f>"038376012"</f>
        <v>038376012</v>
      </c>
      <c r="C899" s="3" t="s">
        <v>1983</v>
      </c>
      <c r="D899" s="3" t="s">
        <v>1984</v>
      </c>
      <c r="E899" s="3" t="s">
        <v>211</v>
      </c>
      <c r="F899" s="2">
        <v>43069</v>
      </c>
      <c r="G899" s="2">
        <v>44377</v>
      </c>
      <c r="H899" s="1447" t="s">
        <v>17</v>
      </c>
      <c r="I899" s="1448" t="s">
        <v>32</v>
      </c>
      <c r="J899" s="3" t="s">
        <v>19</v>
      </c>
      <c r="K899" s="3"/>
    </row>
    <row r="900" spans="1:11" ht="43.2" x14ac:dyDescent="0.3">
      <c r="A900" s="3" t="s">
        <v>1985</v>
      </c>
      <c r="B900" s="3" t="str">
        <f>"020124018"</f>
        <v>020124018</v>
      </c>
      <c r="C900" s="3" t="s">
        <v>1986</v>
      </c>
      <c r="D900" s="3" t="s">
        <v>1987</v>
      </c>
      <c r="E900" s="3" t="s">
        <v>1617</v>
      </c>
      <c r="F900" s="2">
        <v>44287</v>
      </c>
      <c r="G900" s="2"/>
      <c r="H900" s="1449" t="s">
        <v>37</v>
      </c>
      <c r="I900" s="1450" t="s">
        <v>18</v>
      </c>
      <c r="J900" s="3" t="s">
        <v>19</v>
      </c>
      <c r="K900" s="3"/>
    </row>
    <row r="901" spans="1:11" ht="43.2" x14ac:dyDescent="0.3">
      <c r="A901" s="3" t="s">
        <v>1988</v>
      </c>
      <c r="B901" s="3" t="str">
        <f>"036730012"</f>
        <v>036730012</v>
      </c>
      <c r="C901" s="3" t="s">
        <v>1989</v>
      </c>
      <c r="D901" s="3" t="s">
        <v>1990</v>
      </c>
      <c r="E901" s="3" t="s">
        <v>107</v>
      </c>
      <c r="F901" s="2">
        <v>44017</v>
      </c>
      <c r="G901" s="2"/>
      <c r="H901" s="1451" t="s">
        <v>17</v>
      </c>
      <c r="I901" s="1452" t="s">
        <v>18</v>
      </c>
      <c r="J901" s="3" t="s">
        <v>19</v>
      </c>
      <c r="K901" s="3"/>
    </row>
    <row r="902" spans="1:11" ht="43.2" x14ac:dyDescent="0.3">
      <c r="A902" s="3" t="s">
        <v>1988</v>
      </c>
      <c r="B902" s="3" t="str">
        <f>"036730075"</f>
        <v>036730075</v>
      </c>
      <c r="C902" s="3" t="s">
        <v>1989</v>
      </c>
      <c r="D902" s="3" t="s">
        <v>1991</v>
      </c>
      <c r="E902" s="3" t="s">
        <v>107</v>
      </c>
      <c r="F902" s="2">
        <v>43709</v>
      </c>
      <c r="G902" s="2"/>
      <c r="H902" s="1453" t="s">
        <v>17</v>
      </c>
      <c r="I902" s="1454" t="s">
        <v>18</v>
      </c>
      <c r="J902" s="3" t="s">
        <v>19</v>
      </c>
      <c r="K902" s="3"/>
    </row>
    <row r="903" spans="1:11" ht="43.2" x14ac:dyDescent="0.3">
      <c r="A903" s="3" t="s">
        <v>1988</v>
      </c>
      <c r="B903" s="3" t="str">
        <f>"036730188"</f>
        <v>036730188</v>
      </c>
      <c r="C903" s="3" t="s">
        <v>1989</v>
      </c>
      <c r="D903" s="3" t="s">
        <v>1992</v>
      </c>
      <c r="E903" s="3" t="s">
        <v>107</v>
      </c>
      <c r="F903" s="2">
        <v>44017</v>
      </c>
      <c r="G903" s="2"/>
      <c r="H903" s="1455" t="s">
        <v>17</v>
      </c>
      <c r="I903" s="1456" t="s">
        <v>18</v>
      </c>
      <c r="J903" s="3" t="s">
        <v>19</v>
      </c>
      <c r="K903" s="3"/>
    </row>
    <row r="904" spans="1:11" ht="43.2" x14ac:dyDescent="0.3">
      <c r="A904" s="3" t="s">
        <v>1988</v>
      </c>
      <c r="B904" s="3" t="str">
        <f>"036730240"</f>
        <v>036730240</v>
      </c>
      <c r="C904" s="3" t="s">
        <v>1989</v>
      </c>
      <c r="D904" s="3" t="s">
        <v>1993</v>
      </c>
      <c r="E904" s="3" t="s">
        <v>107</v>
      </c>
      <c r="F904" s="2">
        <v>44017</v>
      </c>
      <c r="G904" s="2"/>
      <c r="H904" s="1457" t="s">
        <v>17</v>
      </c>
      <c r="I904" s="1458" t="s">
        <v>18</v>
      </c>
      <c r="J904" s="3" t="s">
        <v>19</v>
      </c>
      <c r="K904" s="3"/>
    </row>
    <row r="905" spans="1:11" ht="158.4" x14ac:dyDescent="0.3">
      <c r="A905" s="3" t="s">
        <v>1994</v>
      </c>
      <c r="B905" s="3" t="str">
        <f>"035693035"</f>
        <v>035693035</v>
      </c>
      <c r="C905" s="3" t="s">
        <v>34</v>
      </c>
      <c r="D905" s="3" t="s">
        <v>1995</v>
      </c>
      <c r="E905" s="3" t="s">
        <v>595</v>
      </c>
      <c r="F905" s="2">
        <v>43916</v>
      </c>
      <c r="G905" s="2">
        <v>44042</v>
      </c>
      <c r="H905" s="1459" t="s">
        <v>17</v>
      </c>
      <c r="I905" s="3" t="s">
        <v>178</v>
      </c>
      <c r="J905" s="3" t="s">
        <v>240</v>
      </c>
      <c r="K905" s="3" t="s">
        <v>1996</v>
      </c>
    </row>
    <row r="906" spans="1:11" ht="57.6" x14ac:dyDescent="0.3">
      <c r="A906" s="3" t="s">
        <v>1997</v>
      </c>
      <c r="B906" s="3" t="str">
        <f>"033012016"</f>
        <v>033012016</v>
      </c>
      <c r="C906" s="3" t="s">
        <v>1998</v>
      </c>
      <c r="D906" s="3" t="s">
        <v>1999</v>
      </c>
      <c r="E906" s="3" t="s">
        <v>2000</v>
      </c>
      <c r="F906" s="2">
        <v>44119</v>
      </c>
      <c r="G906" s="2"/>
      <c r="H906" s="1460" t="s">
        <v>37</v>
      </c>
      <c r="I906" s="1461" t="s">
        <v>32</v>
      </c>
      <c r="J906" s="3" t="s">
        <v>156</v>
      </c>
      <c r="K906" s="3"/>
    </row>
    <row r="907" spans="1:11" ht="43.2" x14ac:dyDescent="0.3">
      <c r="A907" s="3" t="s">
        <v>2001</v>
      </c>
      <c r="B907" s="3" t="str">
        <f>"039595020"</f>
        <v>039595020</v>
      </c>
      <c r="C907" s="3" t="s">
        <v>1983</v>
      </c>
      <c r="D907" s="3" t="s">
        <v>2002</v>
      </c>
      <c r="E907" s="3" t="s">
        <v>16</v>
      </c>
      <c r="F907" s="2">
        <v>43070</v>
      </c>
      <c r="G907" s="2"/>
      <c r="H907" s="1462" t="s">
        <v>17</v>
      </c>
      <c r="I907" s="1463" t="s">
        <v>18</v>
      </c>
      <c r="J907" s="3" t="s">
        <v>19</v>
      </c>
      <c r="K907" s="3"/>
    </row>
    <row r="908" spans="1:11" ht="43.2" x14ac:dyDescent="0.3">
      <c r="A908" s="3" t="s">
        <v>2003</v>
      </c>
      <c r="B908" s="3" t="str">
        <f>"038377014"</f>
        <v>038377014</v>
      </c>
      <c r="C908" s="3" t="s">
        <v>1983</v>
      </c>
      <c r="D908" s="3" t="s">
        <v>428</v>
      </c>
      <c r="E908" s="3" t="s">
        <v>211</v>
      </c>
      <c r="F908" s="2">
        <v>44135</v>
      </c>
      <c r="G908" s="2"/>
      <c r="H908" s="1464" t="s">
        <v>17</v>
      </c>
      <c r="I908" s="1465" t="s">
        <v>32</v>
      </c>
      <c r="J908" s="3" t="s">
        <v>19</v>
      </c>
      <c r="K908" s="3"/>
    </row>
    <row r="909" spans="1:11" ht="43.2" x14ac:dyDescent="0.3">
      <c r="A909" s="3" t="s">
        <v>2003</v>
      </c>
      <c r="B909" s="3" t="str">
        <f>"038377026"</f>
        <v>038377026</v>
      </c>
      <c r="C909" s="3" t="s">
        <v>1983</v>
      </c>
      <c r="D909" s="3" t="s">
        <v>2004</v>
      </c>
      <c r="E909" s="3" t="s">
        <v>211</v>
      </c>
      <c r="F909" s="2">
        <v>44135</v>
      </c>
      <c r="G909" s="2"/>
      <c r="H909" s="1466" t="s">
        <v>17</v>
      </c>
      <c r="I909" s="1467" t="s">
        <v>32</v>
      </c>
      <c r="J909" s="3" t="s">
        <v>19</v>
      </c>
      <c r="K909" s="3"/>
    </row>
    <row r="910" spans="1:11" ht="43.2" x14ac:dyDescent="0.3">
      <c r="A910" s="3" t="s">
        <v>2003</v>
      </c>
      <c r="B910" s="3" t="str">
        <f>"038377038"</f>
        <v>038377038</v>
      </c>
      <c r="C910" s="3" t="s">
        <v>1983</v>
      </c>
      <c r="D910" s="3" t="s">
        <v>2005</v>
      </c>
      <c r="E910" s="3" t="s">
        <v>211</v>
      </c>
      <c r="F910" s="2">
        <v>44135</v>
      </c>
      <c r="G910" s="2"/>
      <c r="H910" s="1468" t="s">
        <v>17</v>
      </c>
      <c r="I910" s="1469" t="s">
        <v>32</v>
      </c>
      <c r="J910" s="3" t="s">
        <v>19</v>
      </c>
      <c r="K910" s="3"/>
    </row>
    <row r="911" spans="1:11" ht="43.2" x14ac:dyDescent="0.3">
      <c r="A911" s="3" t="s">
        <v>2006</v>
      </c>
      <c r="B911" s="3" t="str">
        <f>"037570025"</f>
        <v>037570025</v>
      </c>
      <c r="C911" s="3" t="s">
        <v>1983</v>
      </c>
      <c r="D911" s="3" t="s">
        <v>2007</v>
      </c>
      <c r="E911" s="3" t="s">
        <v>107</v>
      </c>
      <c r="F911" s="2">
        <v>43612</v>
      </c>
      <c r="G911" s="2"/>
      <c r="H911" s="1470" t="s">
        <v>17</v>
      </c>
      <c r="I911" s="1471" t="s">
        <v>18</v>
      </c>
      <c r="J911" s="3" t="s">
        <v>19</v>
      </c>
      <c r="K911" s="3"/>
    </row>
    <row r="912" spans="1:11" ht="43.2" x14ac:dyDescent="0.3">
      <c r="A912" s="3" t="s">
        <v>2008</v>
      </c>
      <c r="B912" s="3" t="str">
        <f>"043495098"</f>
        <v>043495098</v>
      </c>
      <c r="C912" s="3" t="s">
        <v>1983</v>
      </c>
      <c r="D912" s="3" t="s">
        <v>2009</v>
      </c>
      <c r="E912" s="3" t="s">
        <v>263</v>
      </c>
      <c r="F912" s="2">
        <v>44104</v>
      </c>
      <c r="G912" s="2">
        <v>44287</v>
      </c>
      <c r="H912" s="1472" t="s">
        <v>17</v>
      </c>
      <c r="I912" s="3" t="s">
        <v>41</v>
      </c>
      <c r="J912" s="3" t="s">
        <v>19</v>
      </c>
      <c r="K912" s="3"/>
    </row>
    <row r="913" spans="1:11" ht="43.2" x14ac:dyDescent="0.3">
      <c r="A913" s="3" t="s">
        <v>2010</v>
      </c>
      <c r="B913" s="3" t="str">
        <f>"037963016"</f>
        <v>037963016</v>
      </c>
      <c r="C913" s="3" t="s">
        <v>1983</v>
      </c>
      <c r="D913" s="3" t="s">
        <v>2011</v>
      </c>
      <c r="E913" s="3" t="s">
        <v>64</v>
      </c>
      <c r="F913" s="2">
        <v>44156</v>
      </c>
      <c r="G913" s="2"/>
      <c r="H913" s="1473" t="s">
        <v>17</v>
      </c>
      <c r="I913" s="3" t="s">
        <v>41</v>
      </c>
      <c r="J913" s="3" t="s">
        <v>19</v>
      </c>
      <c r="K913" s="3"/>
    </row>
    <row r="914" spans="1:11" ht="172.8" x14ac:dyDescent="0.3">
      <c r="A914" s="3" t="s">
        <v>2012</v>
      </c>
      <c r="B914" s="3" t="str">
        <f>"039232018"</f>
        <v>039232018</v>
      </c>
      <c r="C914" s="3" t="s">
        <v>2013</v>
      </c>
      <c r="D914" s="3" t="s">
        <v>2014</v>
      </c>
      <c r="E914" s="3" t="s">
        <v>2015</v>
      </c>
      <c r="F914" s="2">
        <v>44044</v>
      </c>
      <c r="G914" s="2">
        <v>44196</v>
      </c>
      <c r="H914" s="1474" t="s">
        <v>37</v>
      </c>
      <c r="I914" s="3" t="s">
        <v>41</v>
      </c>
      <c r="J914" s="3" t="s">
        <v>156</v>
      </c>
      <c r="K914" s="3"/>
    </row>
    <row r="915" spans="1:11" ht="172.8" x14ac:dyDescent="0.3">
      <c r="A915" s="3" t="s">
        <v>2012</v>
      </c>
      <c r="B915" s="3" t="str">
        <f>"039232020"</f>
        <v>039232020</v>
      </c>
      <c r="C915" s="3" t="s">
        <v>2013</v>
      </c>
      <c r="D915" s="3" t="s">
        <v>2016</v>
      </c>
      <c r="E915" s="3" t="s">
        <v>2015</v>
      </c>
      <c r="F915" s="2">
        <v>44089</v>
      </c>
      <c r="G915" s="2">
        <v>44196</v>
      </c>
      <c r="H915" s="1475" t="s">
        <v>37</v>
      </c>
      <c r="I915" s="3" t="s">
        <v>41</v>
      </c>
      <c r="J915" s="3" t="s">
        <v>156</v>
      </c>
      <c r="K915" s="3"/>
    </row>
    <row r="916" spans="1:11" ht="43.2" x14ac:dyDescent="0.3">
      <c r="A916" s="3" t="s">
        <v>2017</v>
      </c>
      <c r="B916" s="3" t="str">
        <f>"038229124"</f>
        <v>038229124</v>
      </c>
      <c r="C916" s="3" t="s">
        <v>2018</v>
      </c>
      <c r="D916" s="3" t="s">
        <v>2019</v>
      </c>
      <c r="E916" s="3" t="s">
        <v>1939</v>
      </c>
      <c r="F916" s="2">
        <v>41854</v>
      </c>
      <c r="G916" s="2"/>
      <c r="H916" s="1476" t="s">
        <v>17</v>
      </c>
      <c r="I916" s="3" t="s">
        <v>41</v>
      </c>
      <c r="J916" s="3" t="s">
        <v>19</v>
      </c>
      <c r="K916" s="3"/>
    </row>
    <row r="917" spans="1:11" ht="43.2" x14ac:dyDescent="0.3">
      <c r="A917" s="3" t="s">
        <v>2017</v>
      </c>
      <c r="B917" s="3" t="str">
        <f>"038229047"</f>
        <v>038229047</v>
      </c>
      <c r="C917" s="3" t="s">
        <v>2018</v>
      </c>
      <c r="D917" s="3" t="s">
        <v>2020</v>
      </c>
      <c r="E917" s="3" t="s">
        <v>1939</v>
      </c>
      <c r="F917" s="2">
        <v>41854</v>
      </c>
      <c r="G917" s="2"/>
      <c r="H917" s="1477" t="s">
        <v>17</v>
      </c>
      <c r="I917" s="3" t="s">
        <v>41</v>
      </c>
      <c r="J917" s="3" t="s">
        <v>19</v>
      </c>
      <c r="K917" s="3"/>
    </row>
    <row r="918" spans="1:11" ht="43.2" x14ac:dyDescent="0.3">
      <c r="A918" s="3" t="s">
        <v>2021</v>
      </c>
      <c r="B918" s="3" t="str">
        <f>"018505040"</f>
        <v>018505040</v>
      </c>
      <c r="C918" s="3" t="s">
        <v>2022</v>
      </c>
      <c r="D918" s="3" t="s">
        <v>2023</v>
      </c>
      <c r="E918" s="3" t="s">
        <v>576</v>
      </c>
      <c r="F918" s="2">
        <v>41296</v>
      </c>
      <c r="G918" s="2"/>
      <c r="H918" s="1478" t="s">
        <v>17</v>
      </c>
      <c r="I918" s="1479" t="s">
        <v>18</v>
      </c>
      <c r="J918" s="3" t="s">
        <v>19</v>
      </c>
      <c r="K918" s="3"/>
    </row>
    <row r="919" spans="1:11" ht="115.2" x14ac:dyDescent="0.3">
      <c r="A919" s="3" t="s">
        <v>2024</v>
      </c>
      <c r="B919" s="3" t="str">
        <f>"022620191"</f>
        <v>022620191</v>
      </c>
      <c r="C919" s="3" t="s">
        <v>2025</v>
      </c>
      <c r="D919" s="3" t="s">
        <v>2026</v>
      </c>
      <c r="E919" s="3" t="s">
        <v>161</v>
      </c>
      <c r="F919" s="2">
        <v>43817</v>
      </c>
      <c r="G919" s="2"/>
      <c r="H919" s="1480" t="s">
        <v>37</v>
      </c>
      <c r="I919" s="3" t="s">
        <v>41</v>
      </c>
      <c r="J919" s="3" t="s">
        <v>153</v>
      </c>
      <c r="K919" s="3" t="s">
        <v>2027</v>
      </c>
    </row>
    <row r="920" spans="1:11" ht="43.2" x14ac:dyDescent="0.3">
      <c r="A920" s="3" t="s">
        <v>2028</v>
      </c>
      <c r="B920" s="3" t="str">
        <f>"038109068"</f>
        <v>038109068</v>
      </c>
      <c r="C920" s="3" t="s">
        <v>213</v>
      </c>
      <c r="D920" s="3" t="s">
        <v>2029</v>
      </c>
      <c r="E920" s="3" t="s">
        <v>177</v>
      </c>
      <c r="F920" s="2">
        <v>43922</v>
      </c>
      <c r="G920" s="2">
        <v>44287</v>
      </c>
      <c r="H920" s="1481" t="s">
        <v>17</v>
      </c>
      <c r="I920" s="1482" t="s">
        <v>32</v>
      </c>
      <c r="J920" s="3" t="s">
        <v>19</v>
      </c>
      <c r="K920" s="3"/>
    </row>
    <row r="921" spans="1:11" ht="43.2" x14ac:dyDescent="0.3">
      <c r="A921" s="3" t="s">
        <v>2028</v>
      </c>
      <c r="B921" s="3" t="str">
        <f>"038109070"</f>
        <v>038109070</v>
      </c>
      <c r="C921" s="3" t="s">
        <v>213</v>
      </c>
      <c r="D921" s="3" t="s">
        <v>2030</v>
      </c>
      <c r="E921" s="3" t="s">
        <v>177</v>
      </c>
      <c r="F921" s="2">
        <v>43922</v>
      </c>
      <c r="G921" s="2">
        <v>44287</v>
      </c>
      <c r="H921" s="1483" t="s">
        <v>17</v>
      </c>
      <c r="I921" s="1484" t="s">
        <v>32</v>
      </c>
      <c r="J921" s="3" t="s">
        <v>19</v>
      </c>
      <c r="K921" s="3"/>
    </row>
    <row r="922" spans="1:11" ht="43.2" x14ac:dyDescent="0.3">
      <c r="A922" s="3" t="s">
        <v>2031</v>
      </c>
      <c r="B922" s="3" t="str">
        <f>"023401110"</f>
        <v>023401110</v>
      </c>
      <c r="C922" s="3" t="s">
        <v>1874</v>
      </c>
      <c r="D922" s="3" t="s">
        <v>2032</v>
      </c>
      <c r="E922" s="3" t="s">
        <v>750</v>
      </c>
      <c r="F922" s="2">
        <v>42856</v>
      </c>
      <c r="G922" s="2"/>
      <c r="H922" s="1485" t="s">
        <v>17</v>
      </c>
      <c r="I922" s="1486" t="s">
        <v>32</v>
      </c>
      <c r="J922" s="3" t="s">
        <v>19</v>
      </c>
      <c r="K922" s="3"/>
    </row>
    <row r="923" spans="1:11" ht="43.2" x14ac:dyDescent="0.3">
      <c r="A923" s="3" t="s">
        <v>2031</v>
      </c>
      <c r="B923" s="3" t="str">
        <f>"023401122"</f>
        <v>023401122</v>
      </c>
      <c r="C923" s="3" t="s">
        <v>1874</v>
      </c>
      <c r="D923" s="3" t="s">
        <v>2033</v>
      </c>
      <c r="E923" s="3" t="s">
        <v>750</v>
      </c>
      <c r="F923" s="2">
        <v>43344</v>
      </c>
      <c r="G923" s="2"/>
      <c r="H923" s="1487" t="s">
        <v>17</v>
      </c>
      <c r="I923" s="3" t="s">
        <v>41</v>
      </c>
      <c r="J923" s="3" t="s">
        <v>19</v>
      </c>
      <c r="K923" s="3"/>
    </row>
    <row r="924" spans="1:11" ht="43.2" x14ac:dyDescent="0.3">
      <c r="A924" s="3" t="s">
        <v>2034</v>
      </c>
      <c r="B924" s="3" t="str">
        <f>"025536020"</f>
        <v>025536020</v>
      </c>
      <c r="C924" s="3" t="s">
        <v>1441</v>
      </c>
      <c r="D924" s="3" t="s">
        <v>2035</v>
      </c>
      <c r="E924" s="3" t="s">
        <v>1287</v>
      </c>
      <c r="F924" s="2">
        <v>43171</v>
      </c>
      <c r="G924" s="2"/>
      <c r="H924" s="1488" t="s">
        <v>17</v>
      </c>
      <c r="I924" s="1489" t="s">
        <v>18</v>
      </c>
      <c r="J924" s="3" t="s">
        <v>19</v>
      </c>
      <c r="K924" s="3"/>
    </row>
    <row r="925" spans="1:11" ht="57.6" x14ac:dyDescent="0.3">
      <c r="A925" s="3" t="s">
        <v>2036</v>
      </c>
      <c r="B925" s="3" t="str">
        <f>"031840034"</f>
        <v>031840034</v>
      </c>
      <c r="C925" s="3" t="s">
        <v>200</v>
      </c>
      <c r="D925" s="3" t="s">
        <v>2037</v>
      </c>
      <c r="E925" s="3" t="s">
        <v>202</v>
      </c>
      <c r="F925" s="2">
        <v>44089</v>
      </c>
      <c r="G925" s="2">
        <v>44180</v>
      </c>
      <c r="H925" s="1490" t="s">
        <v>37</v>
      </c>
      <c r="I925" s="3" t="s">
        <v>178</v>
      </c>
      <c r="J925" s="3" t="s">
        <v>156</v>
      </c>
      <c r="K925" s="3"/>
    </row>
    <row r="926" spans="1:11" ht="57.6" x14ac:dyDescent="0.3">
      <c r="A926" s="3" t="s">
        <v>2036</v>
      </c>
      <c r="B926" s="3" t="str">
        <f>"031840046"</f>
        <v>031840046</v>
      </c>
      <c r="C926" s="3" t="s">
        <v>200</v>
      </c>
      <c r="D926" s="3" t="s">
        <v>2038</v>
      </c>
      <c r="E926" s="3" t="s">
        <v>202</v>
      </c>
      <c r="F926" s="2">
        <v>44089</v>
      </c>
      <c r="G926" s="2">
        <v>44180</v>
      </c>
      <c r="H926" s="1491" t="s">
        <v>37</v>
      </c>
      <c r="I926" s="3" t="s">
        <v>178</v>
      </c>
      <c r="J926" s="3" t="s">
        <v>156</v>
      </c>
      <c r="K926" s="3"/>
    </row>
    <row r="927" spans="1:11" ht="72" x14ac:dyDescent="0.3">
      <c r="A927" s="3" t="s">
        <v>2039</v>
      </c>
      <c r="B927" s="3" t="str">
        <f>"047475025"</f>
        <v>047475025</v>
      </c>
      <c r="C927" s="3" t="s">
        <v>2040</v>
      </c>
      <c r="D927" s="3" t="s">
        <v>2041</v>
      </c>
      <c r="E927" s="3" t="s">
        <v>2042</v>
      </c>
      <c r="F927" s="2">
        <v>44089</v>
      </c>
      <c r="G927" s="2">
        <v>44180</v>
      </c>
      <c r="H927" s="1492" t="s">
        <v>37</v>
      </c>
      <c r="I927" s="3" t="s">
        <v>178</v>
      </c>
      <c r="J927" s="3" t="s">
        <v>156</v>
      </c>
      <c r="K927" s="3"/>
    </row>
    <row r="928" spans="1:11" ht="86.4" x14ac:dyDescent="0.3">
      <c r="A928" s="3" t="s">
        <v>2039</v>
      </c>
      <c r="B928" s="3" t="str">
        <f>"047475037"</f>
        <v>047475037</v>
      </c>
      <c r="C928" s="3" t="s">
        <v>2040</v>
      </c>
      <c r="D928" s="3" t="s">
        <v>2043</v>
      </c>
      <c r="E928" s="3" t="s">
        <v>2042</v>
      </c>
      <c r="F928" s="2">
        <v>44089</v>
      </c>
      <c r="G928" s="2">
        <v>44180</v>
      </c>
      <c r="H928" s="1493" t="s">
        <v>37</v>
      </c>
      <c r="I928" s="3" t="s">
        <v>178</v>
      </c>
      <c r="J928" s="3" t="s">
        <v>156</v>
      </c>
      <c r="K928" s="3"/>
    </row>
    <row r="929" spans="1:11" ht="43.2" x14ac:dyDescent="0.3">
      <c r="A929" s="3" t="s">
        <v>2044</v>
      </c>
      <c r="B929" s="3" t="str">
        <f>"033446028"</f>
        <v>033446028</v>
      </c>
      <c r="C929" s="3" t="s">
        <v>2045</v>
      </c>
      <c r="D929" s="3" t="s">
        <v>1001</v>
      </c>
      <c r="E929" s="3" t="s">
        <v>401</v>
      </c>
      <c r="F929" s="2">
        <v>42643</v>
      </c>
      <c r="G929" s="2"/>
      <c r="H929" s="1494" t="s">
        <v>37</v>
      </c>
      <c r="I929" s="3" t="s">
        <v>41</v>
      </c>
      <c r="J929" s="3" t="s">
        <v>19</v>
      </c>
      <c r="K929" s="3"/>
    </row>
    <row r="930" spans="1:11" ht="43.2" x14ac:dyDescent="0.3">
      <c r="A930" s="3" t="s">
        <v>2044</v>
      </c>
      <c r="B930" s="3" t="str">
        <f>"033446030"</f>
        <v>033446030</v>
      </c>
      <c r="C930" s="3" t="s">
        <v>2045</v>
      </c>
      <c r="D930" s="3" t="s">
        <v>1002</v>
      </c>
      <c r="E930" s="3" t="s">
        <v>401</v>
      </c>
      <c r="F930" s="2">
        <v>42643</v>
      </c>
      <c r="G930" s="2"/>
      <c r="H930" s="1495" t="s">
        <v>37</v>
      </c>
      <c r="I930" s="3" t="s">
        <v>41</v>
      </c>
      <c r="J930" s="3" t="s">
        <v>19</v>
      </c>
      <c r="K930" s="3"/>
    </row>
    <row r="931" spans="1:11" ht="43.2" x14ac:dyDescent="0.3">
      <c r="A931" s="3" t="s">
        <v>2046</v>
      </c>
      <c r="B931" s="3" t="str">
        <f>"037394158"</f>
        <v>037394158</v>
      </c>
      <c r="C931" s="3" t="s">
        <v>1470</v>
      </c>
      <c r="D931" s="3" t="s">
        <v>2047</v>
      </c>
      <c r="E931" s="3" t="s">
        <v>27</v>
      </c>
      <c r="F931" s="2">
        <v>43770</v>
      </c>
      <c r="G931" s="2">
        <v>43861</v>
      </c>
      <c r="H931" s="1496" t="s">
        <v>17</v>
      </c>
      <c r="I931" s="3" t="s">
        <v>41</v>
      </c>
      <c r="J931" s="3" t="s">
        <v>19</v>
      </c>
      <c r="K931" s="3"/>
    </row>
    <row r="932" spans="1:11" ht="57.6" x14ac:dyDescent="0.3">
      <c r="A932" s="3" t="s">
        <v>2048</v>
      </c>
      <c r="B932" s="3" t="str">
        <f>"043104013"</f>
        <v>043104013</v>
      </c>
      <c r="C932" s="3" t="s">
        <v>2049</v>
      </c>
      <c r="D932" s="3" t="s">
        <v>2050</v>
      </c>
      <c r="E932" s="3" t="s">
        <v>16</v>
      </c>
      <c r="F932" s="2">
        <v>44065</v>
      </c>
      <c r="G932" s="2">
        <v>44253</v>
      </c>
      <c r="H932" s="1497" t="s">
        <v>17</v>
      </c>
      <c r="I932" s="3" t="s">
        <v>41</v>
      </c>
      <c r="J932" s="3" t="s">
        <v>156</v>
      </c>
      <c r="K932" s="3"/>
    </row>
    <row r="933" spans="1:11" ht="57.6" x14ac:dyDescent="0.3">
      <c r="A933" s="3" t="s">
        <v>2051</v>
      </c>
      <c r="B933" s="3" t="str">
        <f>"042158028"</f>
        <v>042158028</v>
      </c>
      <c r="C933" s="3" t="s">
        <v>2049</v>
      </c>
      <c r="D933" s="3" t="s">
        <v>2052</v>
      </c>
      <c r="E933" s="3" t="s">
        <v>83</v>
      </c>
      <c r="F933" s="2">
        <v>43259</v>
      </c>
      <c r="G933" s="2"/>
      <c r="H933" s="1498" t="s">
        <v>17</v>
      </c>
      <c r="I933" s="3" t="s">
        <v>41</v>
      </c>
      <c r="J933" s="3" t="s">
        <v>156</v>
      </c>
      <c r="K933" s="3"/>
    </row>
    <row r="934" spans="1:11" ht="43.2" x14ac:dyDescent="0.3">
      <c r="A934" s="3" t="s">
        <v>2053</v>
      </c>
      <c r="B934" s="3" t="str">
        <f>"038375022"</f>
        <v>038375022</v>
      </c>
      <c r="C934" s="3" t="s">
        <v>2054</v>
      </c>
      <c r="D934" s="3" t="s">
        <v>2055</v>
      </c>
      <c r="E934" s="3" t="s">
        <v>83</v>
      </c>
      <c r="F934" s="2">
        <v>43263</v>
      </c>
      <c r="G934" s="2"/>
      <c r="H934" s="1499" t="s">
        <v>17</v>
      </c>
      <c r="I934" s="1500" t="s">
        <v>18</v>
      </c>
      <c r="J934" s="3" t="s">
        <v>19</v>
      </c>
      <c r="K934" s="3"/>
    </row>
    <row r="935" spans="1:11" ht="57.6" x14ac:dyDescent="0.3">
      <c r="A935" s="3" t="s">
        <v>2056</v>
      </c>
      <c r="B935" s="3" t="str">
        <f>"038033015"</f>
        <v>038033015</v>
      </c>
      <c r="C935" s="3" t="s">
        <v>2054</v>
      </c>
      <c r="D935" s="3" t="s">
        <v>2057</v>
      </c>
      <c r="E935" s="3" t="s">
        <v>27</v>
      </c>
      <c r="F935" s="2">
        <v>43966</v>
      </c>
      <c r="G935" s="2">
        <v>44196</v>
      </c>
      <c r="H935" s="1501" t="s">
        <v>17</v>
      </c>
      <c r="I935" s="3" t="s">
        <v>41</v>
      </c>
      <c r="J935" s="3" t="s">
        <v>19</v>
      </c>
      <c r="K935" s="3"/>
    </row>
    <row r="936" spans="1:11" ht="43.2" x14ac:dyDescent="0.3">
      <c r="A936" s="3" t="s">
        <v>2058</v>
      </c>
      <c r="B936" s="3" t="str">
        <f>"024596052"</f>
        <v>024596052</v>
      </c>
      <c r="C936" s="3" t="s">
        <v>2059</v>
      </c>
      <c r="D936" s="3" t="s">
        <v>2060</v>
      </c>
      <c r="E936" s="3" t="s">
        <v>543</v>
      </c>
      <c r="F936" s="2">
        <v>44206</v>
      </c>
      <c r="G936" s="2"/>
      <c r="H936" s="1502" t="s">
        <v>17</v>
      </c>
      <c r="I936" s="1503" t="s">
        <v>18</v>
      </c>
      <c r="J936" s="3" t="s">
        <v>19</v>
      </c>
      <c r="K936" s="3"/>
    </row>
    <row r="937" spans="1:11" ht="43.2" x14ac:dyDescent="0.3">
      <c r="A937" s="3" t="s">
        <v>2058</v>
      </c>
      <c r="B937" s="3" t="str">
        <f>"024596189"</f>
        <v>024596189</v>
      </c>
      <c r="C937" s="3" t="s">
        <v>2059</v>
      </c>
      <c r="D937" s="3" t="s">
        <v>2061</v>
      </c>
      <c r="E937" s="3" t="s">
        <v>543</v>
      </c>
      <c r="F937" s="2">
        <v>43729</v>
      </c>
      <c r="G937" s="2"/>
      <c r="H937" s="1504" t="s">
        <v>17</v>
      </c>
      <c r="I937" s="1505" t="s">
        <v>18</v>
      </c>
      <c r="J937" s="3" t="s">
        <v>19</v>
      </c>
      <c r="K937" s="3"/>
    </row>
    <row r="938" spans="1:11" ht="57.6" x14ac:dyDescent="0.3">
      <c r="A938" s="3" t="s">
        <v>2062</v>
      </c>
      <c r="B938" s="3" t="str">
        <f>"043188022"</f>
        <v>043188022</v>
      </c>
      <c r="C938" s="3" t="s">
        <v>2063</v>
      </c>
      <c r="D938" s="3" t="s">
        <v>2064</v>
      </c>
      <c r="E938" s="3" t="s">
        <v>543</v>
      </c>
      <c r="F938" s="2">
        <v>42720</v>
      </c>
      <c r="G938" s="2"/>
      <c r="H938" s="1506" t="s">
        <v>17</v>
      </c>
      <c r="I938" s="1507" t="s">
        <v>18</v>
      </c>
      <c r="J938" s="3" t="s">
        <v>19</v>
      </c>
      <c r="K938" s="3"/>
    </row>
    <row r="939" spans="1:11" ht="43.2" x14ac:dyDescent="0.3">
      <c r="A939" s="3" t="s">
        <v>2065</v>
      </c>
      <c r="B939" s="3" t="str">
        <f>"032328027"</f>
        <v>032328027</v>
      </c>
      <c r="C939" s="3" t="s">
        <v>2066</v>
      </c>
      <c r="D939" s="3" t="s">
        <v>2067</v>
      </c>
      <c r="E939" s="3" t="s">
        <v>456</v>
      </c>
      <c r="F939" s="2">
        <v>43282</v>
      </c>
      <c r="G939" s="2"/>
      <c r="H939" s="1508" t="s">
        <v>17</v>
      </c>
      <c r="I939" s="1509" t="s">
        <v>18</v>
      </c>
      <c r="J939" s="3" t="s">
        <v>19</v>
      </c>
      <c r="K939" s="3"/>
    </row>
    <row r="940" spans="1:11" ht="43.2" x14ac:dyDescent="0.3">
      <c r="A940" s="3" t="s">
        <v>2068</v>
      </c>
      <c r="B940" s="3" t="str">
        <f>"034936082"</f>
        <v>034936082</v>
      </c>
      <c r="C940" s="3" t="s">
        <v>2069</v>
      </c>
      <c r="D940" s="3" t="s">
        <v>2070</v>
      </c>
      <c r="E940" s="3" t="s">
        <v>456</v>
      </c>
      <c r="F940" s="2">
        <v>41671</v>
      </c>
      <c r="G940" s="2"/>
      <c r="H940" s="1510" t="s">
        <v>17</v>
      </c>
      <c r="I940" s="1511" t="s">
        <v>18</v>
      </c>
      <c r="J940" s="3" t="s">
        <v>19</v>
      </c>
      <c r="K940" s="3"/>
    </row>
    <row r="941" spans="1:11" ht="43.2" x14ac:dyDescent="0.3">
      <c r="A941" s="3" t="s">
        <v>2068</v>
      </c>
      <c r="B941" s="3" t="str">
        <f>"034936017"</f>
        <v>034936017</v>
      </c>
      <c r="C941" s="3" t="s">
        <v>2069</v>
      </c>
      <c r="D941" s="3" t="s">
        <v>2071</v>
      </c>
      <c r="E941" s="3" t="s">
        <v>456</v>
      </c>
      <c r="F941" s="2">
        <v>43087</v>
      </c>
      <c r="G941" s="2"/>
      <c r="H941" s="1512" t="s">
        <v>17</v>
      </c>
      <c r="I941" s="1513" t="s">
        <v>18</v>
      </c>
      <c r="J941" s="3" t="s">
        <v>19</v>
      </c>
      <c r="K941" s="3"/>
    </row>
    <row r="942" spans="1:11" ht="43.2" x14ac:dyDescent="0.3">
      <c r="A942" s="3" t="s">
        <v>2068</v>
      </c>
      <c r="B942" s="3" t="str">
        <f>"034936106"</f>
        <v>034936106</v>
      </c>
      <c r="C942" s="3" t="s">
        <v>2069</v>
      </c>
      <c r="D942" s="3" t="s">
        <v>2072</v>
      </c>
      <c r="E942" s="3" t="s">
        <v>456</v>
      </c>
      <c r="F942" s="2">
        <v>44256</v>
      </c>
      <c r="G942" s="2"/>
      <c r="H942" s="1514" t="s">
        <v>17</v>
      </c>
      <c r="I942" s="1515" t="s">
        <v>18</v>
      </c>
      <c r="J942" s="3" t="s">
        <v>19</v>
      </c>
      <c r="K942" s="3"/>
    </row>
    <row r="943" spans="1:11" ht="43.2" x14ac:dyDescent="0.3">
      <c r="A943" s="3" t="s">
        <v>2068</v>
      </c>
      <c r="B943" s="3" t="str">
        <f>"034936120"</f>
        <v>034936120</v>
      </c>
      <c r="C943" s="3" t="s">
        <v>2069</v>
      </c>
      <c r="D943" s="3" t="s">
        <v>2073</v>
      </c>
      <c r="E943" s="3" t="s">
        <v>456</v>
      </c>
      <c r="F943" s="2">
        <v>43047</v>
      </c>
      <c r="G943" s="2"/>
      <c r="H943" s="1516" t="s">
        <v>17</v>
      </c>
      <c r="I943" s="1517" t="s">
        <v>18</v>
      </c>
      <c r="J943" s="3" t="s">
        <v>19</v>
      </c>
      <c r="K943" s="3"/>
    </row>
    <row r="944" spans="1:11" ht="43.2" x14ac:dyDescent="0.3">
      <c r="A944" s="3" t="s">
        <v>2074</v>
      </c>
      <c r="B944" s="3" t="str">
        <f>"032915011"</f>
        <v>032915011</v>
      </c>
      <c r="C944" s="3" t="s">
        <v>2075</v>
      </c>
      <c r="D944" s="3" t="s">
        <v>2076</v>
      </c>
      <c r="E944" s="3" t="s">
        <v>456</v>
      </c>
      <c r="F944" s="2">
        <v>43101</v>
      </c>
      <c r="G944" s="2"/>
      <c r="H944" s="1518" t="s">
        <v>17</v>
      </c>
      <c r="I944" s="1519" t="s">
        <v>18</v>
      </c>
      <c r="J944" s="3" t="s">
        <v>19</v>
      </c>
      <c r="K944" s="3"/>
    </row>
    <row r="945" spans="1:11" ht="43.2" x14ac:dyDescent="0.3">
      <c r="A945" s="3" t="s">
        <v>2077</v>
      </c>
      <c r="B945" s="3" t="str">
        <f>"023345073"</f>
        <v>023345073</v>
      </c>
      <c r="C945" s="3" t="s">
        <v>2078</v>
      </c>
      <c r="D945" s="3" t="s">
        <v>2079</v>
      </c>
      <c r="E945" s="3" t="s">
        <v>2080</v>
      </c>
      <c r="F945" s="2">
        <v>42522</v>
      </c>
      <c r="G945" s="2"/>
      <c r="H945" s="1520" t="s">
        <v>17</v>
      </c>
      <c r="I945" s="1521" t="s">
        <v>18</v>
      </c>
      <c r="J945" s="3" t="s">
        <v>19</v>
      </c>
      <c r="K945" s="3"/>
    </row>
    <row r="946" spans="1:11" ht="43.2" x14ac:dyDescent="0.3">
      <c r="A946" s="3" t="s">
        <v>2081</v>
      </c>
      <c r="B946" s="3" t="str">
        <f>"040593030"</f>
        <v>040593030</v>
      </c>
      <c r="C946" s="3" t="s">
        <v>2082</v>
      </c>
      <c r="D946" s="3" t="s">
        <v>2083</v>
      </c>
      <c r="E946" s="3" t="s">
        <v>16</v>
      </c>
      <c r="F946" s="2">
        <v>44129</v>
      </c>
      <c r="G946" s="2">
        <v>44227</v>
      </c>
      <c r="H946" s="1522" t="s">
        <v>17</v>
      </c>
      <c r="I946" s="3" t="s">
        <v>41</v>
      </c>
      <c r="J946" s="3" t="s">
        <v>19</v>
      </c>
      <c r="K946" s="3"/>
    </row>
    <row r="947" spans="1:11" ht="43.2" x14ac:dyDescent="0.3">
      <c r="A947" s="3" t="s">
        <v>2084</v>
      </c>
      <c r="B947" s="3" t="str">
        <f>"026542074"</f>
        <v>026542074</v>
      </c>
      <c r="C947" s="3" t="s">
        <v>2082</v>
      </c>
      <c r="D947" s="3" t="s">
        <v>2085</v>
      </c>
      <c r="E947" s="3" t="s">
        <v>27</v>
      </c>
      <c r="F947" s="2">
        <v>41699</v>
      </c>
      <c r="G947" s="2"/>
      <c r="H947" s="1523" t="s">
        <v>17</v>
      </c>
      <c r="I947" s="1524" t="s">
        <v>18</v>
      </c>
      <c r="J947" s="3" t="s">
        <v>19</v>
      </c>
      <c r="K947" s="3"/>
    </row>
    <row r="948" spans="1:11" ht="43.2" x14ac:dyDescent="0.3">
      <c r="A948" s="3" t="s">
        <v>2084</v>
      </c>
      <c r="B948" s="3" t="str">
        <f>"026542062"</f>
        <v>026542062</v>
      </c>
      <c r="C948" s="3" t="s">
        <v>2082</v>
      </c>
      <c r="D948" s="3" t="s">
        <v>2086</v>
      </c>
      <c r="E948" s="3" t="s">
        <v>27</v>
      </c>
      <c r="F948" s="2">
        <v>41699</v>
      </c>
      <c r="G948" s="2"/>
      <c r="H948" s="1525" t="s">
        <v>17</v>
      </c>
      <c r="I948" s="1526" t="s">
        <v>18</v>
      </c>
      <c r="J948" s="3" t="s">
        <v>19</v>
      </c>
      <c r="K948" s="3"/>
    </row>
    <row r="949" spans="1:11" ht="43.2" x14ac:dyDescent="0.3">
      <c r="A949" s="3" t="s">
        <v>2087</v>
      </c>
      <c r="B949" s="3" t="str">
        <f>"037053105"</f>
        <v>037053105</v>
      </c>
      <c r="C949" s="3" t="s">
        <v>1459</v>
      </c>
      <c r="D949" s="3" t="s">
        <v>2088</v>
      </c>
      <c r="E949" s="3" t="s">
        <v>56</v>
      </c>
      <c r="F949" s="2">
        <v>44049</v>
      </c>
      <c r="G949" s="2">
        <v>44286</v>
      </c>
      <c r="H949" s="1527" t="s">
        <v>17</v>
      </c>
      <c r="I949" s="3" t="s">
        <v>41</v>
      </c>
      <c r="J949" s="3" t="s">
        <v>19</v>
      </c>
      <c r="K949" s="3"/>
    </row>
    <row r="950" spans="1:11" ht="43.2" x14ac:dyDescent="0.3">
      <c r="A950" s="3" t="s">
        <v>2089</v>
      </c>
      <c r="B950" s="3" t="str">
        <f>"035301136"</f>
        <v>035301136</v>
      </c>
      <c r="C950" s="3" t="s">
        <v>1459</v>
      </c>
      <c r="D950" s="3" t="s">
        <v>2090</v>
      </c>
      <c r="E950" s="3" t="s">
        <v>56</v>
      </c>
      <c r="F950" s="2">
        <v>44049</v>
      </c>
      <c r="G950" s="2">
        <v>44286</v>
      </c>
      <c r="H950" s="1528" t="s">
        <v>17</v>
      </c>
      <c r="I950" s="3" t="s">
        <v>41</v>
      </c>
      <c r="J950" s="3" t="s">
        <v>19</v>
      </c>
      <c r="K950" s="3"/>
    </row>
    <row r="951" spans="1:11" ht="43.2" x14ac:dyDescent="0.3">
      <c r="A951" s="3" t="s">
        <v>2091</v>
      </c>
      <c r="B951" s="3" t="str">
        <f>"034850026"</f>
        <v>034850026</v>
      </c>
      <c r="C951" s="3" t="s">
        <v>1459</v>
      </c>
      <c r="D951" s="3" t="s">
        <v>2092</v>
      </c>
      <c r="E951" s="3" t="s">
        <v>103</v>
      </c>
      <c r="F951" s="2">
        <v>43788</v>
      </c>
      <c r="G951" s="2">
        <v>44043</v>
      </c>
      <c r="H951" s="1529" t="s">
        <v>17</v>
      </c>
      <c r="I951" s="3" t="s">
        <v>41</v>
      </c>
      <c r="J951" s="3" t="s">
        <v>19</v>
      </c>
      <c r="K951" s="3"/>
    </row>
    <row r="952" spans="1:11" ht="86.4" x14ac:dyDescent="0.3">
      <c r="A952" s="3" t="s">
        <v>2091</v>
      </c>
      <c r="B952" s="3" t="str">
        <f>"034850053"</f>
        <v>034850053</v>
      </c>
      <c r="C952" s="3" t="s">
        <v>1459</v>
      </c>
      <c r="D952" s="3" t="s">
        <v>2093</v>
      </c>
      <c r="E952" s="3" t="s">
        <v>103</v>
      </c>
      <c r="F952" s="2">
        <v>43810</v>
      </c>
      <c r="G952" s="2">
        <v>44286</v>
      </c>
      <c r="H952" s="1530" t="s">
        <v>17</v>
      </c>
      <c r="I952" s="3" t="s">
        <v>41</v>
      </c>
      <c r="J952" s="3" t="s">
        <v>19</v>
      </c>
      <c r="K952" s="3" t="s">
        <v>2094</v>
      </c>
    </row>
    <row r="953" spans="1:11" ht="43.2" x14ac:dyDescent="0.3">
      <c r="A953" s="3" t="s">
        <v>2095</v>
      </c>
      <c r="B953" s="3" t="str">
        <f>"033910023"</f>
        <v>033910023</v>
      </c>
      <c r="C953" s="3" t="s">
        <v>1459</v>
      </c>
      <c r="D953" s="3" t="s">
        <v>2096</v>
      </c>
      <c r="E953" s="3" t="s">
        <v>99</v>
      </c>
      <c r="F953" s="2">
        <v>8</v>
      </c>
      <c r="G953" s="2"/>
      <c r="H953" s="1531" t="s">
        <v>17</v>
      </c>
      <c r="I953" s="1532" t="s">
        <v>32</v>
      </c>
      <c r="J953" s="3" t="s">
        <v>19</v>
      </c>
      <c r="K953" s="3"/>
    </row>
    <row r="954" spans="1:11" ht="43.2" x14ac:dyDescent="0.3">
      <c r="A954" s="3" t="s">
        <v>2097</v>
      </c>
      <c r="B954" s="3" t="str">
        <f>"044446021"</f>
        <v>044446021</v>
      </c>
      <c r="C954" s="3" t="s">
        <v>2098</v>
      </c>
      <c r="D954" s="3" t="s">
        <v>2099</v>
      </c>
      <c r="E954" s="3" t="s">
        <v>24</v>
      </c>
      <c r="F954" s="2">
        <v>43922</v>
      </c>
      <c r="G954" s="2"/>
      <c r="H954" s="1533" t="s">
        <v>17</v>
      </c>
      <c r="I954" s="1534" t="s">
        <v>18</v>
      </c>
      <c r="J954" s="3" t="s">
        <v>19</v>
      </c>
      <c r="K954" s="3"/>
    </row>
    <row r="955" spans="1:11" ht="86.4" x14ac:dyDescent="0.3">
      <c r="A955" s="3" t="s">
        <v>2100</v>
      </c>
      <c r="B955" s="3" t="str">
        <f>"041893013"</f>
        <v>041893013</v>
      </c>
      <c r="C955" s="3" t="s">
        <v>2101</v>
      </c>
      <c r="D955" s="3" t="s">
        <v>2102</v>
      </c>
      <c r="E955" s="3" t="s">
        <v>2103</v>
      </c>
      <c r="F955" s="2">
        <v>43677</v>
      </c>
      <c r="G955" s="2"/>
      <c r="H955" s="1535" t="s">
        <v>17</v>
      </c>
      <c r="I955" s="1536" t="s">
        <v>18</v>
      </c>
      <c r="J955" s="3" t="s">
        <v>19</v>
      </c>
      <c r="K955" s="3"/>
    </row>
    <row r="956" spans="1:11" ht="86.4" x14ac:dyDescent="0.3">
      <c r="A956" s="3" t="s">
        <v>2100</v>
      </c>
      <c r="B956" s="3" t="str">
        <f>"041893025"</f>
        <v>041893025</v>
      </c>
      <c r="C956" s="3" t="s">
        <v>2101</v>
      </c>
      <c r="D956" s="3" t="s">
        <v>2104</v>
      </c>
      <c r="E956" s="3" t="s">
        <v>2103</v>
      </c>
      <c r="F956" s="2">
        <v>43677</v>
      </c>
      <c r="G956" s="2"/>
      <c r="H956" s="1537" t="s">
        <v>17</v>
      </c>
      <c r="I956" s="1538" t="s">
        <v>18</v>
      </c>
      <c r="J956" s="3" t="s">
        <v>19</v>
      </c>
      <c r="K956" s="3"/>
    </row>
    <row r="957" spans="1:11" ht="72" x14ac:dyDescent="0.3">
      <c r="A957" s="3" t="s">
        <v>2105</v>
      </c>
      <c r="B957" s="3" t="str">
        <f>"043645011"</f>
        <v>043645011</v>
      </c>
      <c r="C957" s="3" t="s">
        <v>2106</v>
      </c>
      <c r="D957" s="3" t="s">
        <v>2107</v>
      </c>
      <c r="E957" s="3" t="s">
        <v>1617</v>
      </c>
      <c r="F957" s="2">
        <v>43101</v>
      </c>
      <c r="G957" s="2"/>
      <c r="H957" s="1539" t="s">
        <v>17</v>
      </c>
      <c r="I957" s="1540" t="s">
        <v>32</v>
      </c>
      <c r="J957" s="3" t="s">
        <v>19</v>
      </c>
      <c r="K957" s="3"/>
    </row>
    <row r="958" spans="1:11" ht="43.2" x14ac:dyDescent="0.3">
      <c r="A958" s="3" t="s">
        <v>2108</v>
      </c>
      <c r="B958" s="3" t="str">
        <f>"020378131"</f>
        <v>020378131</v>
      </c>
      <c r="C958" s="3" t="s">
        <v>2109</v>
      </c>
      <c r="D958" s="3" t="s">
        <v>2110</v>
      </c>
      <c r="E958" s="3" t="s">
        <v>1353</v>
      </c>
      <c r="F958" s="2">
        <v>44012</v>
      </c>
      <c r="G958" s="2"/>
      <c r="H958" s="1541" t="s">
        <v>17</v>
      </c>
      <c r="I958" s="1542" t="s">
        <v>18</v>
      </c>
      <c r="J958" s="3" t="s">
        <v>19</v>
      </c>
      <c r="K958" s="3"/>
    </row>
    <row r="959" spans="1:11" ht="43.2" x14ac:dyDescent="0.3">
      <c r="A959" s="3" t="s">
        <v>2111</v>
      </c>
      <c r="B959" s="3" t="str">
        <f>"027546023"</f>
        <v>027546023</v>
      </c>
      <c r="C959" s="3" t="s">
        <v>2112</v>
      </c>
      <c r="D959" s="3" t="s">
        <v>2113</v>
      </c>
      <c r="E959" s="3" t="s">
        <v>1123</v>
      </c>
      <c r="F959" s="2">
        <v>42983</v>
      </c>
      <c r="G959" s="2"/>
      <c r="H959" s="1543" t="s">
        <v>37</v>
      </c>
      <c r="I959" s="3" t="s">
        <v>41</v>
      </c>
      <c r="J959" s="3" t="s">
        <v>19</v>
      </c>
      <c r="K959" s="3"/>
    </row>
    <row r="960" spans="1:11" ht="57.6" x14ac:dyDescent="0.3">
      <c r="A960" s="3" t="s">
        <v>2114</v>
      </c>
      <c r="B960" s="3" t="str">
        <f>"027660099"</f>
        <v>027660099</v>
      </c>
      <c r="C960" s="3" t="s">
        <v>1890</v>
      </c>
      <c r="D960" s="3" t="s">
        <v>2115</v>
      </c>
      <c r="E960" s="3" t="s">
        <v>1416</v>
      </c>
      <c r="F960" s="2">
        <v>43631</v>
      </c>
      <c r="G960" s="2"/>
      <c r="H960" s="1544" t="s">
        <v>17</v>
      </c>
      <c r="I960" s="1545" t="s">
        <v>18</v>
      </c>
      <c r="J960" s="3" t="s">
        <v>19</v>
      </c>
      <c r="K960" s="3"/>
    </row>
    <row r="961" spans="1:11" ht="43.2" x14ac:dyDescent="0.3">
      <c r="A961" s="3" t="s">
        <v>2116</v>
      </c>
      <c r="B961" s="3" t="str">
        <f>"045235037"</f>
        <v>045235037</v>
      </c>
      <c r="C961" s="3" t="s">
        <v>2098</v>
      </c>
      <c r="D961" s="3" t="s">
        <v>2117</v>
      </c>
      <c r="E961" s="3" t="s">
        <v>107</v>
      </c>
      <c r="F961" s="2">
        <v>44043</v>
      </c>
      <c r="G961" s="2"/>
      <c r="H961" s="1546" t="s">
        <v>17</v>
      </c>
      <c r="I961" s="3" t="s">
        <v>41</v>
      </c>
      <c r="J961" s="3" t="s">
        <v>19</v>
      </c>
      <c r="K961" s="3"/>
    </row>
    <row r="962" spans="1:11" ht="86.4" x14ac:dyDescent="0.3">
      <c r="A962" s="3" t="s">
        <v>2118</v>
      </c>
      <c r="B962" s="3" t="str">
        <f>"043149020"</f>
        <v>043149020</v>
      </c>
      <c r="C962" s="3" t="s">
        <v>2119</v>
      </c>
      <c r="D962" s="3" t="s">
        <v>2120</v>
      </c>
      <c r="E962" s="3" t="s">
        <v>2121</v>
      </c>
      <c r="F962" s="2">
        <v>43951</v>
      </c>
      <c r="G962" s="2">
        <v>44042</v>
      </c>
      <c r="H962" s="1547" t="s">
        <v>37</v>
      </c>
      <c r="I962" s="3" t="s">
        <v>41</v>
      </c>
      <c r="J962" s="3" t="s">
        <v>156</v>
      </c>
      <c r="K962" s="3"/>
    </row>
    <row r="963" spans="1:11" ht="43.2" x14ac:dyDescent="0.3">
      <c r="A963" s="3" t="s">
        <v>2122</v>
      </c>
      <c r="B963" s="3" t="str">
        <f>"037272046"</f>
        <v>037272046</v>
      </c>
      <c r="C963" s="3" t="s">
        <v>2123</v>
      </c>
      <c r="D963" s="3" t="s">
        <v>2124</v>
      </c>
      <c r="E963" s="3" t="s">
        <v>64</v>
      </c>
      <c r="F963" s="2">
        <v>44044</v>
      </c>
      <c r="G963" s="2"/>
      <c r="H963" s="1548" t="s">
        <v>17</v>
      </c>
      <c r="I963" s="3" t="s">
        <v>41</v>
      </c>
      <c r="J963" s="3" t="s">
        <v>19</v>
      </c>
      <c r="K963" s="3"/>
    </row>
    <row r="964" spans="1:11" ht="43.2" x14ac:dyDescent="0.3">
      <c r="A964" s="3" t="s">
        <v>2125</v>
      </c>
      <c r="B964" s="3" t="str">
        <f>"041706021"</f>
        <v>041706021</v>
      </c>
      <c r="C964" s="3" t="s">
        <v>2126</v>
      </c>
      <c r="D964" s="3" t="s">
        <v>2127</v>
      </c>
      <c r="E964" s="3" t="s">
        <v>83</v>
      </c>
      <c r="F964" s="2">
        <v>43167</v>
      </c>
      <c r="G964" s="2"/>
      <c r="H964" s="1549" t="s">
        <v>17</v>
      </c>
      <c r="I964" s="1550" t="s">
        <v>32</v>
      </c>
      <c r="J964" s="3" t="s">
        <v>19</v>
      </c>
      <c r="K964" s="3"/>
    </row>
    <row r="965" spans="1:11" ht="43.2" x14ac:dyDescent="0.3">
      <c r="A965" s="3" t="s">
        <v>2128</v>
      </c>
      <c r="B965" s="3" t="str">
        <f>"037097209"</f>
        <v>037097209</v>
      </c>
      <c r="C965" s="3" t="s">
        <v>2129</v>
      </c>
      <c r="D965" s="3" t="s">
        <v>2130</v>
      </c>
      <c r="E965" s="3" t="s">
        <v>1762</v>
      </c>
      <c r="F965" s="2">
        <v>44027</v>
      </c>
      <c r="G965" s="2">
        <v>44227</v>
      </c>
      <c r="H965" s="1551" t="s">
        <v>37</v>
      </c>
      <c r="I965" s="3" t="s">
        <v>41</v>
      </c>
      <c r="J965" s="3" t="s">
        <v>19</v>
      </c>
      <c r="K965" s="3"/>
    </row>
    <row r="966" spans="1:11" ht="72" x14ac:dyDescent="0.3">
      <c r="A966" s="3" t="s">
        <v>2131</v>
      </c>
      <c r="B966" s="3" t="str">
        <f>"036143028"</f>
        <v>036143028</v>
      </c>
      <c r="C966" s="3" t="s">
        <v>1184</v>
      </c>
      <c r="D966" s="3" t="s">
        <v>2132</v>
      </c>
      <c r="E966" s="3" t="s">
        <v>315</v>
      </c>
      <c r="F966" s="2">
        <v>43388</v>
      </c>
      <c r="G966" s="2"/>
      <c r="H966" s="1552" t="s">
        <v>17</v>
      </c>
      <c r="I966" s="1553" t="s">
        <v>18</v>
      </c>
      <c r="J966" s="3" t="s">
        <v>19</v>
      </c>
      <c r="K966" s="3"/>
    </row>
    <row r="967" spans="1:11" ht="43.2" x14ac:dyDescent="0.3">
      <c r="A967" s="3" t="s">
        <v>2133</v>
      </c>
      <c r="B967" s="3" t="str">
        <f>"034595013"</f>
        <v>034595013</v>
      </c>
      <c r="C967" s="3" t="s">
        <v>2134</v>
      </c>
      <c r="D967" s="3" t="s">
        <v>2135</v>
      </c>
      <c r="E967" s="3" t="s">
        <v>56</v>
      </c>
      <c r="F967" s="2">
        <v>41849</v>
      </c>
      <c r="G967" s="2"/>
      <c r="H967" s="1554" t="s">
        <v>17</v>
      </c>
      <c r="I967" s="1555" t="s">
        <v>18</v>
      </c>
      <c r="J967" s="3" t="s">
        <v>19</v>
      </c>
      <c r="K967" s="3"/>
    </row>
    <row r="968" spans="1:11" ht="43.2" x14ac:dyDescent="0.3">
      <c r="A968" s="3" t="s">
        <v>2136</v>
      </c>
      <c r="B968" s="3" t="str">
        <f>"041947058"</f>
        <v>041947058</v>
      </c>
      <c r="C968" s="3" t="s">
        <v>2063</v>
      </c>
      <c r="D968" s="3" t="s">
        <v>2137</v>
      </c>
      <c r="E968" s="3" t="s">
        <v>2138</v>
      </c>
      <c r="F968" s="2">
        <v>44227</v>
      </c>
      <c r="G968" s="2"/>
      <c r="H968" s="1556" t="s">
        <v>17</v>
      </c>
      <c r="I968" s="1557" t="s">
        <v>18</v>
      </c>
      <c r="J968" s="3" t="s">
        <v>19</v>
      </c>
      <c r="K968" s="3"/>
    </row>
    <row r="969" spans="1:11" ht="43.2" x14ac:dyDescent="0.3">
      <c r="A969" s="3" t="s">
        <v>2139</v>
      </c>
      <c r="B969" s="3" t="str">
        <f>"043155011"</f>
        <v>043155011</v>
      </c>
      <c r="C969" s="3" t="s">
        <v>2063</v>
      </c>
      <c r="D969" s="3" t="s">
        <v>2140</v>
      </c>
      <c r="E969" s="3" t="s">
        <v>2138</v>
      </c>
      <c r="F969" s="2">
        <v>44104</v>
      </c>
      <c r="G969" s="2"/>
      <c r="H969" s="1558" t="s">
        <v>17</v>
      </c>
      <c r="I969" s="1559" t="s">
        <v>18</v>
      </c>
      <c r="J969" s="3" t="s">
        <v>19</v>
      </c>
      <c r="K969" s="3"/>
    </row>
    <row r="970" spans="1:11" ht="43.2" x14ac:dyDescent="0.3">
      <c r="A970" s="3" t="s">
        <v>2141</v>
      </c>
      <c r="B970" s="3" t="str">
        <f>"041654017"</f>
        <v>041654017</v>
      </c>
      <c r="C970" s="3" t="s">
        <v>2142</v>
      </c>
      <c r="D970" s="3" t="s">
        <v>2143</v>
      </c>
      <c r="E970" s="3" t="s">
        <v>56</v>
      </c>
      <c r="F970" s="2">
        <v>44105</v>
      </c>
      <c r="G970" s="2"/>
      <c r="H970" s="1560" t="s">
        <v>17</v>
      </c>
      <c r="I970" s="1561" t="s">
        <v>18</v>
      </c>
      <c r="J970" s="3" t="s">
        <v>19</v>
      </c>
      <c r="K970" s="3"/>
    </row>
    <row r="971" spans="1:11" ht="43.2" x14ac:dyDescent="0.3">
      <c r="A971" s="3" t="s">
        <v>2144</v>
      </c>
      <c r="B971" s="3" t="str">
        <f>"035117011"</f>
        <v>035117011</v>
      </c>
      <c r="C971" s="3" t="s">
        <v>2145</v>
      </c>
      <c r="D971" s="3" t="s">
        <v>2146</v>
      </c>
      <c r="E971" s="3" t="s">
        <v>56</v>
      </c>
      <c r="F971" s="2">
        <v>42397</v>
      </c>
      <c r="G971" s="2"/>
      <c r="H971" s="1562" t="s">
        <v>17</v>
      </c>
      <c r="I971" s="1563" t="s">
        <v>18</v>
      </c>
      <c r="J971" s="3" t="s">
        <v>19</v>
      </c>
      <c r="K971" s="3"/>
    </row>
    <row r="972" spans="1:11" ht="43.2" x14ac:dyDescent="0.3">
      <c r="A972" s="3" t="s">
        <v>2147</v>
      </c>
      <c r="B972" s="3" t="str">
        <f>"042611020"</f>
        <v>042611020</v>
      </c>
      <c r="C972" s="3" t="s">
        <v>2148</v>
      </c>
      <c r="D972" s="3" t="s">
        <v>2149</v>
      </c>
      <c r="E972" s="3" t="s">
        <v>56</v>
      </c>
      <c r="F972" s="2">
        <v>44049</v>
      </c>
      <c r="G972" s="2">
        <v>44211</v>
      </c>
      <c r="H972" s="1564" t="s">
        <v>17</v>
      </c>
      <c r="I972" s="3" t="s">
        <v>41</v>
      </c>
      <c r="J972" s="3" t="s">
        <v>19</v>
      </c>
      <c r="K972" s="3" t="s">
        <v>2150</v>
      </c>
    </row>
    <row r="973" spans="1:11" ht="43.2" x14ac:dyDescent="0.3">
      <c r="A973" s="3" t="s">
        <v>2151</v>
      </c>
      <c r="B973" s="3" t="str">
        <f>"042929024"</f>
        <v>042929024</v>
      </c>
      <c r="C973" s="3" t="s">
        <v>2148</v>
      </c>
      <c r="D973" s="3" t="s">
        <v>2152</v>
      </c>
      <c r="E973" s="3" t="s">
        <v>107</v>
      </c>
      <c r="F973" s="2">
        <v>43193</v>
      </c>
      <c r="G973" s="2"/>
      <c r="H973" s="1565" t="s">
        <v>17</v>
      </c>
      <c r="I973" s="1566" t="s">
        <v>18</v>
      </c>
      <c r="J973" s="3" t="s">
        <v>19</v>
      </c>
      <c r="K973" s="3"/>
    </row>
    <row r="974" spans="1:11" ht="43.2" x14ac:dyDescent="0.3">
      <c r="A974" s="3" t="s">
        <v>2151</v>
      </c>
      <c r="B974" s="3" t="str">
        <f>"042929051"</f>
        <v>042929051</v>
      </c>
      <c r="C974" s="3" t="s">
        <v>2148</v>
      </c>
      <c r="D974" s="3" t="s">
        <v>2153</v>
      </c>
      <c r="E974" s="3" t="s">
        <v>107</v>
      </c>
      <c r="F974" s="2">
        <v>44017</v>
      </c>
      <c r="G974" s="2"/>
      <c r="H974" s="1567" t="s">
        <v>17</v>
      </c>
      <c r="I974" s="1568" t="s">
        <v>18</v>
      </c>
      <c r="J974" s="3" t="s">
        <v>19</v>
      </c>
      <c r="K974" s="3"/>
    </row>
    <row r="975" spans="1:11" ht="43.2" x14ac:dyDescent="0.3">
      <c r="A975" s="3" t="s">
        <v>2154</v>
      </c>
      <c r="B975" s="3" t="str">
        <f>"026928022"</f>
        <v>026928022</v>
      </c>
      <c r="C975" s="3" t="s">
        <v>2155</v>
      </c>
      <c r="D975" s="3" t="s">
        <v>2156</v>
      </c>
      <c r="E975" s="3" t="s">
        <v>873</v>
      </c>
      <c r="F975" s="2">
        <v>42893</v>
      </c>
      <c r="G975" s="2"/>
      <c r="H975" s="1569" t="s">
        <v>37</v>
      </c>
      <c r="I975" s="1570" t="s">
        <v>32</v>
      </c>
      <c r="J975" s="3" t="s">
        <v>19</v>
      </c>
      <c r="K975" s="3"/>
    </row>
    <row r="976" spans="1:11" ht="43.2" x14ac:dyDescent="0.3">
      <c r="A976" s="3" t="s">
        <v>2157</v>
      </c>
      <c r="B976" s="3" t="str">
        <f>"030331019"</f>
        <v>030331019</v>
      </c>
      <c r="C976" s="3" t="s">
        <v>2158</v>
      </c>
      <c r="D976" s="3" t="s">
        <v>2159</v>
      </c>
      <c r="E976" s="3" t="s">
        <v>2160</v>
      </c>
      <c r="F976" s="2">
        <v>42999</v>
      </c>
      <c r="G976" s="2"/>
      <c r="H976" s="1571" t="s">
        <v>17</v>
      </c>
      <c r="I976" s="1572" t="s">
        <v>32</v>
      </c>
      <c r="J976" s="3" t="s">
        <v>19</v>
      </c>
      <c r="K976" s="3"/>
    </row>
    <row r="977" spans="1:11" ht="43.2" x14ac:dyDescent="0.3">
      <c r="A977" s="3" t="s">
        <v>2161</v>
      </c>
      <c r="B977" s="3" t="str">
        <f>"031326010"</f>
        <v>031326010</v>
      </c>
      <c r="C977" s="3" t="s">
        <v>2158</v>
      </c>
      <c r="D977" s="3" t="s">
        <v>2162</v>
      </c>
      <c r="E977" s="3" t="s">
        <v>1497</v>
      </c>
      <c r="F977" s="2">
        <v>42999</v>
      </c>
      <c r="G977" s="2"/>
      <c r="H977" s="1573" t="s">
        <v>17</v>
      </c>
      <c r="I977" s="1574" t="s">
        <v>32</v>
      </c>
      <c r="J977" s="3" t="s">
        <v>19</v>
      </c>
      <c r="K977" s="3"/>
    </row>
    <row r="978" spans="1:11" ht="43.2" x14ac:dyDescent="0.3">
      <c r="A978" s="3" t="s">
        <v>2163</v>
      </c>
      <c r="B978" s="3" t="str">
        <f>"014152019"</f>
        <v>014152019</v>
      </c>
      <c r="C978" s="3" t="s">
        <v>2164</v>
      </c>
      <c r="D978" s="3" t="s">
        <v>2165</v>
      </c>
      <c r="E978" s="3" t="s">
        <v>2166</v>
      </c>
      <c r="F978" s="2">
        <v>43831</v>
      </c>
      <c r="G978" s="2">
        <v>44165</v>
      </c>
      <c r="H978" s="1575" t="s">
        <v>17</v>
      </c>
      <c r="I978" s="3" t="s">
        <v>41</v>
      </c>
      <c r="J978" s="3" t="s">
        <v>19</v>
      </c>
      <c r="K978" s="3"/>
    </row>
    <row r="979" spans="1:11" ht="43.2" x14ac:dyDescent="0.3">
      <c r="A979" s="3" t="s">
        <v>2167</v>
      </c>
      <c r="B979" s="3" t="str">
        <f>"032898013"</f>
        <v>032898013</v>
      </c>
      <c r="C979" s="3" t="s">
        <v>2168</v>
      </c>
      <c r="D979" s="3" t="s">
        <v>2169</v>
      </c>
      <c r="E979" s="3" t="s">
        <v>107</v>
      </c>
      <c r="F979" s="2">
        <v>44015</v>
      </c>
      <c r="G979" s="2"/>
      <c r="H979" s="1576" t="s">
        <v>17</v>
      </c>
      <c r="I979" s="3" t="s">
        <v>41</v>
      </c>
      <c r="J979" s="3" t="s">
        <v>19</v>
      </c>
      <c r="K979" s="3"/>
    </row>
    <row r="980" spans="1:11" ht="43.2" x14ac:dyDescent="0.3">
      <c r="A980" s="3" t="s">
        <v>2170</v>
      </c>
      <c r="B980" s="3" t="str">
        <f>"030160028"</f>
        <v>030160028</v>
      </c>
      <c r="C980" s="3" t="s">
        <v>2168</v>
      </c>
      <c r="D980" s="3" t="s">
        <v>2171</v>
      </c>
      <c r="E980" s="3" t="s">
        <v>750</v>
      </c>
      <c r="F980" s="2">
        <v>42856</v>
      </c>
      <c r="G980" s="2"/>
      <c r="H980" s="1577" t="s">
        <v>17</v>
      </c>
      <c r="I980" s="1578" t="s">
        <v>18</v>
      </c>
      <c r="J980" s="3" t="s">
        <v>19</v>
      </c>
      <c r="K980" s="3"/>
    </row>
    <row r="981" spans="1:11" ht="43.2" x14ac:dyDescent="0.3">
      <c r="A981" s="3" t="s">
        <v>2172</v>
      </c>
      <c r="B981" s="3" t="str">
        <f>"040642011"</f>
        <v>040642011</v>
      </c>
      <c r="C981" s="3" t="s">
        <v>2168</v>
      </c>
      <c r="D981" s="3" t="s">
        <v>2173</v>
      </c>
      <c r="E981" s="3" t="s">
        <v>27</v>
      </c>
      <c r="F981" s="2">
        <v>44179</v>
      </c>
      <c r="G981" s="2">
        <v>44286</v>
      </c>
      <c r="H981" s="1579" t="s">
        <v>17</v>
      </c>
      <c r="I981" s="3" t="s">
        <v>1259</v>
      </c>
      <c r="J981" s="3" t="s">
        <v>19</v>
      </c>
      <c r="K981" s="3"/>
    </row>
    <row r="982" spans="1:11" ht="43.2" x14ac:dyDescent="0.3">
      <c r="A982" s="3" t="s">
        <v>2174</v>
      </c>
      <c r="B982" s="3" t="str">
        <f>"040566046"</f>
        <v>040566046</v>
      </c>
      <c r="C982" s="3" t="s">
        <v>2175</v>
      </c>
      <c r="D982" s="3" t="s">
        <v>2176</v>
      </c>
      <c r="E982" s="3" t="s">
        <v>83</v>
      </c>
      <c r="F982" s="2">
        <v>44135</v>
      </c>
      <c r="G982" s="2"/>
      <c r="H982" s="1580" t="s">
        <v>17</v>
      </c>
      <c r="I982" s="3" t="s">
        <v>41</v>
      </c>
      <c r="J982" s="3" t="s">
        <v>19</v>
      </c>
      <c r="K982" s="3"/>
    </row>
    <row r="983" spans="1:11" ht="43.2" x14ac:dyDescent="0.3">
      <c r="A983" s="3" t="s">
        <v>2174</v>
      </c>
      <c r="B983" s="3" t="str">
        <f>"040566198"</f>
        <v>040566198</v>
      </c>
      <c r="C983" s="3" t="s">
        <v>2175</v>
      </c>
      <c r="D983" s="3" t="s">
        <v>2177</v>
      </c>
      <c r="E983" s="3" t="s">
        <v>83</v>
      </c>
      <c r="F983" s="2">
        <v>44135</v>
      </c>
      <c r="G983" s="2"/>
      <c r="H983" s="1581" t="s">
        <v>17</v>
      </c>
      <c r="I983" s="3" t="s">
        <v>41</v>
      </c>
      <c r="J983" s="3" t="s">
        <v>19</v>
      </c>
      <c r="K983" s="3"/>
    </row>
    <row r="984" spans="1:11" ht="43.2" x14ac:dyDescent="0.3">
      <c r="A984" s="3" t="s">
        <v>2178</v>
      </c>
      <c r="B984" s="3" t="str">
        <f>"040150144"</f>
        <v>040150144</v>
      </c>
      <c r="C984" s="3" t="s">
        <v>2175</v>
      </c>
      <c r="D984" s="3" t="s">
        <v>2179</v>
      </c>
      <c r="E984" s="3" t="s">
        <v>288</v>
      </c>
      <c r="F984" s="2">
        <v>43151</v>
      </c>
      <c r="G984" s="2"/>
      <c r="H984" s="1582" t="s">
        <v>17</v>
      </c>
      <c r="I984" s="1583" t="s">
        <v>18</v>
      </c>
      <c r="J984" s="3" t="s">
        <v>19</v>
      </c>
      <c r="K984" s="3"/>
    </row>
    <row r="985" spans="1:11" ht="43.2" x14ac:dyDescent="0.3">
      <c r="A985" s="3" t="s">
        <v>2178</v>
      </c>
      <c r="B985" s="3" t="str">
        <f>"040150245"</f>
        <v>040150245</v>
      </c>
      <c r="C985" s="3" t="s">
        <v>2175</v>
      </c>
      <c r="D985" s="3" t="s">
        <v>2180</v>
      </c>
      <c r="E985" s="3" t="s">
        <v>288</v>
      </c>
      <c r="F985" s="2">
        <v>42536</v>
      </c>
      <c r="G985" s="2"/>
      <c r="H985" s="1584" t="s">
        <v>17</v>
      </c>
      <c r="I985" s="1585" t="s">
        <v>18</v>
      </c>
      <c r="J985" s="3" t="s">
        <v>19</v>
      </c>
      <c r="K985" s="3"/>
    </row>
    <row r="986" spans="1:11" ht="43.2" x14ac:dyDescent="0.3">
      <c r="A986" s="3" t="s">
        <v>2181</v>
      </c>
      <c r="B986" s="3" t="str">
        <f>"038346021"</f>
        <v>038346021</v>
      </c>
      <c r="C986" s="3" t="s">
        <v>2175</v>
      </c>
      <c r="D986" s="3" t="s">
        <v>2182</v>
      </c>
      <c r="E986" s="3" t="s">
        <v>64</v>
      </c>
      <c r="F986" s="2">
        <v>43191</v>
      </c>
      <c r="G986" s="2">
        <v>44166</v>
      </c>
      <c r="H986" s="1586" t="s">
        <v>17</v>
      </c>
      <c r="I986" s="3" t="s">
        <v>41</v>
      </c>
      <c r="J986" s="3" t="s">
        <v>19</v>
      </c>
      <c r="K986" s="3"/>
    </row>
    <row r="987" spans="1:11" ht="72" x14ac:dyDescent="0.3">
      <c r="A987" s="3" t="s">
        <v>2183</v>
      </c>
      <c r="B987" s="3" t="str">
        <f>"035969017"</f>
        <v>035969017</v>
      </c>
      <c r="C987" s="3" t="s">
        <v>2184</v>
      </c>
      <c r="D987" s="3" t="s">
        <v>2185</v>
      </c>
      <c r="E987" s="3" t="s">
        <v>1238</v>
      </c>
      <c r="F987" s="2">
        <v>44212</v>
      </c>
      <c r="G987" s="2">
        <v>44469</v>
      </c>
      <c r="H987" s="1587" t="s">
        <v>17</v>
      </c>
      <c r="I987" s="3" t="s">
        <v>41</v>
      </c>
      <c r="J987" s="3" t="s">
        <v>19</v>
      </c>
      <c r="K987" s="3"/>
    </row>
    <row r="988" spans="1:11" ht="43.2" x14ac:dyDescent="0.3">
      <c r="A988" s="3" t="s">
        <v>2186</v>
      </c>
      <c r="B988" s="3" t="str">
        <f>"034964217"</f>
        <v>034964217</v>
      </c>
      <c r="C988" s="3" t="s">
        <v>2187</v>
      </c>
      <c r="D988" s="3" t="s">
        <v>2188</v>
      </c>
      <c r="E988" s="3" t="s">
        <v>151</v>
      </c>
      <c r="F988" s="2">
        <v>43585</v>
      </c>
      <c r="G988" s="2"/>
      <c r="H988" s="1588" t="s">
        <v>17</v>
      </c>
      <c r="I988" s="1589" t="s">
        <v>18</v>
      </c>
      <c r="J988" s="3" t="s">
        <v>19</v>
      </c>
      <c r="K988" s="3"/>
    </row>
    <row r="989" spans="1:11" ht="57.6" x14ac:dyDescent="0.3">
      <c r="A989" s="3" t="s">
        <v>2189</v>
      </c>
      <c r="B989" s="3" t="str">
        <f>"039457027"</f>
        <v>039457027</v>
      </c>
      <c r="C989" s="3" t="s">
        <v>1342</v>
      </c>
      <c r="D989" s="3" t="s">
        <v>2190</v>
      </c>
      <c r="E989" s="3" t="s">
        <v>2191</v>
      </c>
      <c r="F989" s="2">
        <v>44197</v>
      </c>
      <c r="G989" s="2">
        <v>44561</v>
      </c>
      <c r="H989" s="1590" t="s">
        <v>17</v>
      </c>
      <c r="I989" s="3" t="s">
        <v>41</v>
      </c>
      <c r="J989" s="3" t="s">
        <v>156</v>
      </c>
      <c r="K989" s="3"/>
    </row>
    <row r="990" spans="1:11" ht="57.6" x14ac:dyDescent="0.3">
      <c r="A990" s="3" t="s">
        <v>2189</v>
      </c>
      <c r="B990" s="3" t="str">
        <f>"039457039"</f>
        <v>039457039</v>
      </c>
      <c r="C990" s="3" t="s">
        <v>1342</v>
      </c>
      <c r="D990" s="3" t="s">
        <v>2192</v>
      </c>
      <c r="E990" s="3" t="s">
        <v>2191</v>
      </c>
      <c r="F990" s="2">
        <v>44197</v>
      </c>
      <c r="G990" s="2">
        <v>44561</v>
      </c>
      <c r="H990" s="1591" t="s">
        <v>17</v>
      </c>
      <c r="I990" s="3" t="s">
        <v>41</v>
      </c>
      <c r="J990" s="3" t="s">
        <v>156</v>
      </c>
      <c r="K990" s="3"/>
    </row>
    <row r="991" spans="1:11" ht="43.2" x14ac:dyDescent="0.3">
      <c r="A991" s="3" t="s">
        <v>2193</v>
      </c>
      <c r="B991" s="3" t="str">
        <f>"033340050"</f>
        <v>033340050</v>
      </c>
      <c r="C991" s="3" t="s">
        <v>1607</v>
      </c>
      <c r="D991" s="3" t="s">
        <v>2194</v>
      </c>
      <c r="E991" s="3" t="s">
        <v>2195</v>
      </c>
      <c r="F991" s="2">
        <v>44012</v>
      </c>
      <c r="G991" s="2"/>
      <c r="H991" s="1592" t="s">
        <v>17</v>
      </c>
      <c r="I991" s="1593" t="s">
        <v>32</v>
      </c>
      <c r="J991" s="3" t="s">
        <v>19</v>
      </c>
      <c r="K991" s="3"/>
    </row>
    <row r="992" spans="1:11" ht="57.6" x14ac:dyDescent="0.3">
      <c r="A992" s="3" t="s">
        <v>2196</v>
      </c>
      <c r="B992" s="3" t="str">
        <f>"037311077"</f>
        <v>037311077</v>
      </c>
      <c r="C992" s="3" t="s">
        <v>2197</v>
      </c>
      <c r="D992" s="3" t="s">
        <v>2198</v>
      </c>
      <c r="E992" s="3" t="s">
        <v>2199</v>
      </c>
      <c r="F992" s="2">
        <v>43896</v>
      </c>
      <c r="G992" s="2"/>
      <c r="H992" s="1594" t="s">
        <v>37</v>
      </c>
      <c r="I992" s="1595" t="s">
        <v>18</v>
      </c>
      <c r="J992" s="3" t="s">
        <v>19</v>
      </c>
      <c r="K992" s="3"/>
    </row>
    <row r="993" spans="1:11" ht="43.2" x14ac:dyDescent="0.3">
      <c r="A993" s="3" t="s">
        <v>2200</v>
      </c>
      <c r="B993" s="3" t="str">
        <f>"027819022"</f>
        <v>027819022</v>
      </c>
      <c r="C993" s="3" t="s">
        <v>2201</v>
      </c>
      <c r="D993" s="3" t="s">
        <v>2202</v>
      </c>
      <c r="E993" s="3" t="s">
        <v>2203</v>
      </c>
      <c r="F993" s="2">
        <v>41521</v>
      </c>
      <c r="G993" s="2"/>
      <c r="H993" s="1596" t="s">
        <v>17</v>
      </c>
      <c r="I993" s="1597" t="s">
        <v>18</v>
      </c>
      <c r="J993" s="3" t="s">
        <v>19</v>
      </c>
      <c r="K993" s="3"/>
    </row>
    <row r="994" spans="1:11" ht="43.2" x14ac:dyDescent="0.3">
      <c r="A994" s="3" t="s">
        <v>2204</v>
      </c>
      <c r="B994" s="3" t="str">
        <f>"024352092"</f>
        <v>024352092</v>
      </c>
      <c r="C994" s="3" t="s">
        <v>2205</v>
      </c>
      <c r="D994" s="3" t="s">
        <v>2206</v>
      </c>
      <c r="E994" s="3" t="s">
        <v>2207</v>
      </c>
      <c r="F994" s="2">
        <v>41944</v>
      </c>
      <c r="G994" s="2"/>
      <c r="H994" s="1598" t="s">
        <v>17</v>
      </c>
      <c r="I994" s="1599" t="s">
        <v>18</v>
      </c>
      <c r="J994" s="3" t="s">
        <v>19</v>
      </c>
      <c r="K994" s="3"/>
    </row>
    <row r="995" spans="1:11" ht="57.6" x14ac:dyDescent="0.3">
      <c r="A995" s="3" t="s">
        <v>2208</v>
      </c>
      <c r="B995" s="3" t="str">
        <f>"046031023"</f>
        <v>046031023</v>
      </c>
      <c r="C995" s="3" t="s">
        <v>2209</v>
      </c>
      <c r="D995" s="3" t="s">
        <v>2210</v>
      </c>
      <c r="E995" s="3" t="s">
        <v>122</v>
      </c>
      <c r="F995" s="2">
        <v>44065</v>
      </c>
      <c r="G995" s="2">
        <v>44196</v>
      </c>
      <c r="H995" s="1600" t="s">
        <v>17</v>
      </c>
      <c r="I995" s="3" t="s">
        <v>41</v>
      </c>
      <c r="J995" s="3" t="s">
        <v>19</v>
      </c>
      <c r="K995" s="3"/>
    </row>
    <row r="996" spans="1:11" ht="43.2" x14ac:dyDescent="0.3">
      <c r="A996" s="3" t="s">
        <v>2211</v>
      </c>
      <c r="B996" s="3" t="str">
        <f>"040237012"</f>
        <v>040237012</v>
      </c>
      <c r="C996" s="3" t="s">
        <v>2212</v>
      </c>
      <c r="D996" s="3" t="s">
        <v>2213</v>
      </c>
      <c r="E996" s="3" t="s">
        <v>83</v>
      </c>
      <c r="F996" s="2">
        <v>43587</v>
      </c>
      <c r="G996" s="2"/>
      <c r="H996" s="1601" t="s">
        <v>17</v>
      </c>
      <c r="I996" s="3" t="s">
        <v>41</v>
      </c>
      <c r="J996" s="3" t="s">
        <v>19</v>
      </c>
      <c r="K996" s="3"/>
    </row>
    <row r="997" spans="1:11" ht="43.2" x14ac:dyDescent="0.3">
      <c r="A997" s="3" t="s">
        <v>2211</v>
      </c>
      <c r="B997" s="3" t="str">
        <f>"040237024"</f>
        <v>040237024</v>
      </c>
      <c r="C997" s="3" t="s">
        <v>2212</v>
      </c>
      <c r="D997" s="3" t="s">
        <v>2214</v>
      </c>
      <c r="E997" s="3" t="s">
        <v>83</v>
      </c>
      <c r="F997" s="2">
        <v>43679</v>
      </c>
      <c r="G997" s="2"/>
      <c r="H997" s="1602" t="s">
        <v>17</v>
      </c>
      <c r="I997" s="3" t="s">
        <v>41</v>
      </c>
      <c r="J997" s="3" t="s">
        <v>19</v>
      </c>
      <c r="K997" s="3"/>
    </row>
    <row r="998" spans="1:11" ht="43.2" x14ac:dyDescent="0.3">
      <c r="A998" s="3" t="s">
        <v>2211</v>
      </c>
      <c r="B998" s="3" t="str">
        <f>"040237036"</f>
        <v>040237036</v>
      </c>
      <c r="C998" s="3" t="s">
        <v>2212</v>
      </c>
      <c r="D998" s="3" t="s">
        <v>2215</v>
      </c>
      <c r="E998" s="3" t="s">
        <v>83</v>
      </c>
      <c r="F998" s="2">
        <v>43964</v>
      </c>
      <c r="G998" s="2"/>
      <c r="H998" s="1603" t="s">
        <v>17</v>
      </c>
      <c r="I998" s="3" t="s">
        <v>41</v>
      </c>
      <c r="J998" s="3" t="s">
        <v>19</v>
      </c>
      <c r="K998" s="3"/>
    </row>
    <row r="999" spans="1:11" ht="43.2" x14ac:dyDescent="0.3">
      <c r="A999" s="3" t="s">
        <v>2216</v>
      </c>
      <c r="B999" s="3" t="str">
        <f>"040928018"</f>
        <v>040928018</v>
      </c>
      <c r="C999" s="3" t="s">
        <v>2217</v>
      </c>
      <c r="D999" s="3" t="s">
        <v>2218</v>
      </c>
      <c r="E999" s="3" t="s">
        <v>16</v>
      </c>
      <c r="F999" s="2">
        <v>44153</v>
      </c>
      <c r="G999" s="2">
        <v>44286</v>
      </c>
      <c r="H999" s="1604" t="s">
        <v>37</v>
      </c>
      <c r="I999" s="3" t="s">
        <v>41</v>
      </c>
      <c r="J999" s="3" t="s">
        <v>19</v>
      </c>
      <c r="K999" s="3"/>
    </row>
    <row r="1000" spans="1:11" ht="43.2" x14ac:dyDescent="0.3">
      <c r="A1000" s="3" t="s">
        <v>2216</v>
      </c>
      <c r="B1000" s="3" t="str">
        <f>"040928032"</f>
        <v>040928032</v>
      </c>
      <c r="C1000" s="3" t="s">
        <v>2217</v>
      </c>
      <c r="D1000" s="3" t="s">
        <v>2219</v>
      </c>
      <c r="E1000" s="3" t="s">
        <v>16</v>
      </c>
      <c r="F1000" s="2">
        <v>43070</v>
      </c>
      <c r="G1000" s="2"/>
      <c r="H1000" s="1605" t="s">
        <v>37</v>
      </c>
      <c r="I1000" s="1606" t="s">
        <v>18</v>
      </c>
      <c r="J1000" s="3" t="s">
        <v>19</v>
      </c>
      <c r="K1000" s="3"/>
    </row>
    <row r="1001" spans="1:11" ht="43.2" x14ac:dyDescent="0.3">
      <c r="A1001" s="3" t="s">
        <v>2216</v>
      </c>
      <c r="B1001" s="3" t="str">
        <f>"040928044"</f>
        <v>040928044</v>
      </c>
      <c r="C1001" s="3" t="s">
        <v>2217</v>
      </c>
      <c r="D1001" s="3" t="s">
        <v>2220</v>
      </c>
      <c r="E1001" s="3" t="s">
        <v>16</v>
      </c>
      <c r="F1001" s="2">
        <v>44166</v>
      </c>
      <c r="G1001" s="2">
        <v>44286</v>
      </c>
      <c r="H1001" s="1607" t="s">
        <v>37</v>
      </c>
      <c r="I1001" s="3" t="s">
        <v>41</v>
      </c>
      <c r="J1001" s="3" t="s">
        <v>19</v>
      </c>
      <c r="K1001" s="3"/>
    </row>
    <row r="1002" spans="1:11" ht="57.6" x14ac:dyDescent="0.3">
      <c r="A1002" s="3" t="s">
        <v>2221</v>
      </c>
      <c r="B1002" s="3" t="str">
        <f>"038879019"</f>
        <v>038879019</v>
      </c>
      <c r="C1002" s="3" t="s">
        <v>2212</v>
      </c>
      <c r="D1002" s="3" t="s">
        <v>2222</v>
      </c>
      <c r="E1002" s="3" t="s">
        <v>83</v>
      </c>
      <c r="F1002" s="2">
        <v>43748</v>
      </c>
      <c r="G1002" s="2"/>
      <c r="H1002" s="1608" t="s">
        <v>17</v>
      </c>
      <c r="I1002" s="3" t="s">
        <v>41</v>
      </c>
      <c r="J1002" s="3" t="s">
        <v>19</v>
      </c>
      <c r="K1002" s="3"/>
    </row>
    <row r="1003" spans="1:11" ht="43.2" x14ac:dyDescent="0.3">
      <c r="A1003" s="3" t="s">
        <v>2221</v>
      </c>
      <c r="B1003" s="3" t="str">
        <f>"038879021"</f>
        <v>038879021</v>
      </c>
      <c r="C1003" s="3" t="s">
        <v>2212</v>
      </c>
      <c r="D1003" s="3" t="s">
        <v>2223</v>
      </c>
      <c r="E1003" s="3" t="s">
        <v>83</v>
      </c>
      <c r="F1003" s="2">
        <v>43745</v>
      </c>
      <c r="G1003" s="2"/>
      <c r="H1003" s="1609" t="s">
        <v>17</v>
      </c>
      <c r="I1003" s="3" t="s">
        <v>41</v>
      </c>
      <c r="J1003" s="3" t="s">
        <v>19</v>
      </c>
      <c r="K1003" s="3"/>
    </row>
    <row r="1004" spans="1:11" ht="43.2" x14ac:dyDescent="0.3">
      <c r="A1004" s="3" t="s">
        <v>2221</v>
      </c>
      <c r="B1004" s="3" t="str">
        <f>"038879033"</f>
        <v>038879033</v>
      </c>
      <c r="C1004" s="3" t="s">
        <v>2212</v>
      </c>
      <c r="D1004" s="3" t="s">
        <v>2224</v>
      </c>
      <c r="E1004" s="3" t="s">
        <v>83</v>
      </c>
      <c r="F1004" s="2">
        <v>43263</v>
      </c>
      <c r="G1004" s="2"/>
      <c r="H1004" s="1610" t="s">
        <v>17</v>
      </c>
      <c r="I1004" s="1611" t="s">
        <v>18</v>
      </c>
      <c r="J1004" s="3" t="s">
        <v>19</v>
      </c>
      <c r="K1004" s="3"/>
    </row>
    <row r="1005" spans="1:11" ht="57.6" x14ac:dyDescent="0.3">
      <c r="A1005" s="3" t="s">
        <v>2225</v>
      </c>
      <c r="B1005" s="3" t="str">
        <f>"040638013"</f>
        <v>040638013</v>
      </c>
      <c r="C1005" s="3" t="s">
        <v>2217</v>
      </c>
      <c r="D1005" s="3" t="s">
        <v>2226</v>
      </c>
      <c r="E1005" s="3" t="s">
        <v>412</v>
      </c>
      <c r="F1005" s="2">
        <v>43334</v>
      </c>
      <c r="G1005" s="2"/>
      <c r="H1005" s="1612" t="s">
        <v>17</v>
      </c>
      <c r="I1005" s="3" t="s">
        <v>41</v>
      </c>
      <c r="J1005" s="3" t="s">
        <v>19</v>
      </c>
      <c r="K1005" s="3"/>
    </row>
    <row r="1006" spans="1:11" ht="57.6" x14ac:dyDescent="0.3">
      <c r="A1006" s="3" t="s">
        <v>2225</v>
      </c>
      <c r="B1006" s="3" t="str">
        <f>"040638025"</f>
        <v>040638025</v>
      </c>
      <c r="C1006" s="3" t="s">
        <v>2217</v>
      </c>
      <c r="D1006" s="3" t="s">
        <v>2227</v>
      </c>
      <c r="E1006" s="3" t="s">
        <v>412</v>
      </c>
      <c r="F1006" s="2">
        <v>43481</v>
      </c>
      <c r="G1006" s="2"/>
      <c r="H1006" s="1613" t="s">
        <v>17</v>
      </c>
      <c r="I1006" s="3" t="s">
        <v>41</v>
      </c>
      <c r="J1006" s="3" t="s">
        <v>19</v>
      </c>
      <c r="K1006" s="3"/>
    </row>
    <row r="1007" spans="1:11" ht="57.6" x14ac:dyDescent="0.3">
      <c r="A1007" s="3" t="s">
        <v>2225</v>
      </c>
      <c r="B1007" s="3" t="str">
        <f>"040638037"</f>
        <v>040638037</v>
      </c>
      <c r="C1007" s="3" t="s">
        <v>2217</v>
      </c>
      <c r="D1007" s="3" t="s">
        <v>2228</v>
      </c>
      <c r="E1007" s="3" t="s">
        <v>412</v>
      </c>
      <c r="F1007" s="2">
        <v>43454</v>
      </c>
      <c r="G1007" s="2"/>
      <c r="H1007" s="1614" t="s">
        <v>17</v>
      </c>
      <c r="I1007" s="3" t="s">
        <v>782</v>
      </c>
      <c r="J1007" s="3" t="s">
        <v>19</v>
      </c>
      <c r="K1007" s="3"/>
    </row>
    <row r="1008" spans="1:11" ht="43.2" x14ac:dyDescent="0.3">
      <c r="A1008" s="3" t="s">
        <v>2229</v>
      </c>
      <c r="B1008" s="3" t="str">
        <f>"038815015"</f>
        <v>038815015</v>
      </c>
      <c r="C1008" s="3" t="s">
        <v>2212</v>
      </c>
      <c r="D1008" s="3" t="s">
        <v>2230</v>
      </c>
      <c r="E1008" s="3" t="s">
        <v>64</v>
      </c>
      <c r="F1008" s="2">
        <v>43343</v>
      </c>
      <c r="G1008" s="2"/>
      <c r="H1008" s="1615" t="s">
        <v>17</v>
      </c>
      <c r="I1008" s="3" t="s">
        <v>41</v>
      </c>
      <c r="J1008" s="3" t="s">
        <v>19</v>
      </c>
      <c r="K1008" s="3"/>
    </row>
    <row r="1009" spans="1:11" ht="72" x14ac:dyDescent="0.3">
      <c r="A1009" s="3" t="s">
        <v>2231</v>
      </c>
      <c r="B1009" s="3" t="str">
        <f>"035639018"</f>
        <v>035639018</v>
      </c>
      <c r="C1009" s="3" t="s">
        <v>2232</v>
      </c>
      <c r="D1009" s="3" t="s">
        <v>2233</v>
      </c>
      <c r="E1009" s="3" t="s">
        <v>24</v>
      </c>
      <c r="F1009" s="2">
        <v>43862</v>
      </c>
      <c r="G1009" s="2"/>
      <c r="H1009" s="1616" t="s">
        <v>17</v>
      </c>
      <c r="I1009" s="1617" t="s">
        <v>18</v>
      </c>
      <c r="J1009" s="3" t="s">
        <v>19</v>
      </c>
      <c r="K1009" s="3"/>
    </row>
    <row r="1010" spans="1:11" ht="72" x14ac:dyDescent="0.3">
      <c r="A1010" s="3" t="s">
        <v>2231</v>
      </c>
      <c r="B1010" s="3" t="str">
        <f>"035639032"</f>
        <v>035639032</v>
      </c>
      <c r="C1010" s="3" t="s">
        <v>2232</v>
      </c>
      <c r="D1010" s="3" t="s">
        <v>2234</v>
      </c>
      <c r="E1010" s="3" t="s">
        <v>24</v>
      </c>
      <c r="F1010" s="2">
        <v>43862</v>
      </c>
      <c r="G1010" s="2"/>
      <c r="H1010" s="1618" t="s">
        <v>37</v>
      </c>
      <c r="I1010" s="1619" t="s">
        <v>18</v>
      </c>
      <c r="J1010" s="3" t="s">
        <v>19</v>
      </c>
      <c r="K1010" s="3"/>
    </row>
    <row r="1011" spans="1:11" ht="57.6" x14ac:dyDescent="0.3">
      <c r="A1011" s="3" t="s">
        <v>2231</v>
      </c>
      <c r="B1011" s="3" t="str">
        <f>"035639044"</f>
        <v>035639044</v>
      </c>
      <c r="C1011" s="3" t="s">
        <v>2232</v>
      </c>
      <c r="D1011" s="3" t="s">
        <v>2235</v>
      </c>
      <c r="E1011" s="3" t="s">
        <v>24</v>
      </c>
      <c r="F1011" s="2">
        <v>43862</v>
      </c>
      <c r="G1011" s="2"/>
      <c r="H1011" s="1620" t="s">
        <v>37</v>
      </c>
      <c r="I1011" s="1621" t="s">
        <v>18</v>
      </c>
      <c r="J1011" s="3" t="s">
        <v>19</v>
      </c>
      <c r="K1011" s="3"/>
    </row>
    <row r="1012" spans="1:11" ht="43.2" x14ac:dyDescent="0.3">
      <c r="A1012" s="3" t="s">
        <v>2236</v>
      </c>
      <c r="B1012" s="3" t="str">
        <f>"026737015"</f>
        <v>026737015</v>
      </c>
      <c r="C1012" s="3" t="s">
        <v>2237</v>
      </c>
      <c r="D1012" s="3" t="s">
        <v>2238</v>
      </c>
      <c r="E1012" s="3" t="s">
        <v>576</v>
      </c>
      <c r="F1012" s="2">
        <v>41442</v>
      </c>
      <c r="G1012" s="2"/>
      <c r="H1012" s="1622" t="s">
        <v>17</v>
      </c>
      <c r="I1012" s="1623" t="s">
        <v>18</v>
      </c>
      <c r="J1012" s="3" t="s">
        <v>19</v>
      </c>
      <c r="K1012" s="3"/>
    </row>
    <row r="1013" spans="1:11" ht="43.2" x14ac:dyDescent="0.3">
      <c r="A1013" s="3" t="s">
        <v>2239</v>
      </c>
      <c r="B1013" s="3" t="str">
        <f>"026844098"</f>
        <v>026844098</v>
      </c>
      <c r="C1013" s="3" t="s">
        <v>2240</v>
      </c>
      <c r="D1013" s="3" t="s">
        <v>2241</v>
      </c>
      <c r="E1013" s="3" t="s">
        <v>412</v>
      </c>
      <c r="F1013" s="2">
        <v>43039</v>
      </c>
      <c r="G1013" s="2"/>
      <c r="H1013" s="1624" t="s">
        <v>17</v>
      </c>
      <c r="I1013" s="1625" t="s">
        <v>18</v>
      </c>
      <c r="J1013" s="3" t="s">
        <v>19</v>
      </c>
      <c r="K1013" s="3"/>
    </row>
    <row r="1014" spans="1:11" ht="43.2" x14ac:dyDescent="0.3">
      <c r="A1014" s="3" t="s">
        <v>2239</v>
      </c>
      <c r="B1014" s="3" t="str">
        <f>"026844163"</f>
        <v>026844163</v>
      </c>
      <c r="C1014" s="3" t="s">
        <v>2240</v>
      </c>
      <c r="D1014" s="3" t="s">
        <v>2242</v>
      </c>
      <c r="E1014" s="3" t="s">
        <v>412</v>
      </c>
      <c r="F1014" s="2">
        <v>42921</v>
      </c>
      <c r="G1014" s="2"/>
      <c r="H1014" s="1626" t="s">
        <v>17</v>
      </c>
      <c r="I1014" s="1627" t="s">
        <v>18</v>
      </c>
      <c r="J1014" s="3" t="s">
        <v>19</v>
      </c>
      <c r="K1014" s="3"/>
    </row>
    <row r="1015" spans="1:11" ht="43.2" x14ac:dyDescent="0.3">
      <c r="A1015" s="3" t="s">
        <v>2243</v>
      </c>
      <c r="B1015" s="3" t="str">
        <f>"037684026"</f>
        <v>037684026</v>
      </c>
      <c r="C1015" s="3" t="s">
        <v>2244</v>
      </c>
      <c r="D1015" s="3" t="s">
        <v>2245</v>
      </c>
      <c r="E1015" s="3" t="s">
        <v>31</v>
      </c>
      <c r="F1015" s="2">
        <v>42186</v>
      </c>
      <c r="G1015" s="2"/>
      <c r="H1015" s="1628" t="s">
        <v>17</v>
      </c>
      <c r="I1015" s="3" t="s">
        <v>41</v>
      </c>
      <c r="J1015" s="3" t="s">
        <v>19</v>
      </c>
      <c r="K1015" s="3"/>
    </row>
    <row r="1016" spans="1:11" ht="43.2" x14ac:dyDescent="0.3">
      <c r="A1016" s="3" t="s">
        <v>2246</v>
      </c>
      <c r="B1016" s="3" t="str">
        <f>"034727014"</f>
        <v>034727014</v>
      </c>
      <c r="C1016" s="3" t="s">
        <v>1728</v>
      </c>
      <c r="D1016" s="3" t="s">
        <v>2247</v>
      </c>
      <c r="E1016" s="3" t="s">
        <v>173</v>
      </c>
      <c r="F1016" s="2">
        <v>42887</v>
      </c>
      <c r="G1016" s="2"/>
      <c r="H1016" s="1629" t="s">
        <v>37</v>
      </c>
      <c r="I1016" s="1630" t="s">
        <v>32</v>
      </c>
      <c r="J1016" s="3" t="s">
        <v>19</v>
      </c>
      <c r="K1016" s="3"/>
    </row>
    <row r="1017" spans="1:11" ht="57.6" x14ac:dyDescent="0.3">
      <c r="A1017" s="3" t="s">
        <v>2248</v>
      </c>
      <c r="B1017" s="3" t="str">
        <f>"023399025"</f>
        <v>023399025</v>
      </c>
      <c r="C1017" s="3" t="s">
        <v>2109</v>
      </c>
      <c r="D1017" s="3" t="s">
        <v>2249</v>
      </c>
      <c r="E1017" s="3" t="s">
        <v>1353</v>
      </c>
      <c r="F1017" s="2">
        <v>44134</v>
      </c>
      <c r="G1017" s="2"/>
      <c r="H1017" s="1631" t="s">
        <v>17</v>
      </c>
      <c r="I1017" s="1632" t="s">
        <v>18</v>
      </c>
      <c r="J1017" s="3" t="s">
        <v>19</v>
      </c>
      <c r="K1017" s="3"/>
    </row>
    <row r="1018" spans="1:11" ht="43.2" x14ac:dyDescent="0.3">
      <c r="A1018" s="3" t="s">
        <v>2250</v>
      </c>
      <c r="B1018" s="3" t="str">
        <f>"025212085"</f>
        <v>025212085</v>
      </c>
      <c r="C1018" s="3" t="s">
        <v>1022</v>
      </c>
      <c r="D1018" s="3" t="s">
        <v>2251</v>
      </c>
      <c r="E1018" s="3" t="s">
        <v>604</v>
      </c>
      <c r="F1018" s="2">
        <v>42583</v>
      </c>
      <c r="G1018" s="2"/>
      <c r="H1018" s="1633" t="s">
        <v>17</v>
      </c>
      <c r="I1018" s="1634" t="s">
        <v>18</v>
      </c>
      <c r="J1018" s="3" t="s">
        <v>19</v>
      </c>
      <c r="K1018" s="3"/>
    </row>
    <row r="1019" spans="1:11" ht="72" x14ac:dyDescent="0.3">
      <c r="A1019" s="3" t="s">
        <v>2250</v>
      </c>
      <c r="B1019" s="3" t="str">
        <f>"025212109"</f>
        <v>025212109</v>
      </c>
      <c r="C1019" s="3" t="s">
        <v>1022</v>
      </c>
      <c r="D1019" s="3" t="s">
        <v>2252</v>
      </c>
      <c r="E1019" s="3" t="s">
        <v>604</v>
      </c>
      <c r="F1019" s="2">
        <v>42648</v>
      </c>
      <c r="G1019" s="2"/>
      <c r="H1019" s="1635" t="s">
        <v>17</v>
      </c>
      <c r="I1019" s="1636" t="s">
        <v>18</v>
      </c>
      <c r="J1019" s="3" t="s">
        <v>19</v>
      </c>
      <c r="K1019" s="3"/>
    </row>
    <row r="1020" spans="1:11" ht="43.2" x14ac:dyDescent="0.3">
      <c r="A1020" s="3" t="s">
        <v>2250</v>
      </c>
      <c r="B1020" s="3" t="str">
        <f>"025212059"</f>
        <v>025212059</v>
      </c>
      <c r="C1020" s="3" t="s">
        <v>1022</v>
      </c>
      <c r="D1020" s="3" t="s">
        <v>2253</v>
      </c>
      <c r="E1020" s="3" t="s">
        <v>604</v>
      </c>
      <c r="F1020" s="2">
        <v>42291</v>
      </c>
      <c r="G1020" s="2"/>
      <c r="H1020" s="1637" t="s">
        <v>17</v>
      </c>
      <c r="I1020" s="3" t="s">
        <v>41</v>
      </c>
      <c r="J1020" s="3" t="s">
        <v>19</v>
      </c>
      <c r="K1020" s="3"/>
    </row>
    <row r="1021" spans="1:11" ht="43.2" x14ac:dyDescent="0.3">
      <c r="A1021" s="3" t="s">
        <v>2250</v>
      </c>
      <c r="B1021" s="3" t="str">
        <f>"025212073"</f>
        <v>025212073</v>
      </c>
      <c r="C1021" s="3" t="s">
        <v>1022</v>
      </c>
      <c r="D1021" s="3" t="s">
        <v>2254</v>
      </c>
      <c r="E1021" s="3" t="s">
        <v>604</v>
      </c>
      <c r="F1021" s="2">
        <v>42583</v>
      </c>
      <c r="G1021" s="2"/>
      <c r="H1021" s="1638" t="s">
        <v>17</v>
      </c>
      <c r="I1021" s="1639" t="s">
        <v>18</v>
      </c>
      <c r="J1021" s="3" t="s">
        <v>19</v>
      </c>
      <c r="K1021" s="3"/>
    </row>
    <row r="1022" spans="1:11" ht="43.2" x14ac:dyDescent="0.3">
      <c r="A1022" s="3" t="s">
        <v>2250</v>
      </c>
      <c r="B1022" s="3" t="str">
        <f>"025212111"</f>
        <v>025212111</v>
      </c>
      <c r="C1022" s="3" t="s">
        <v>1022</v>
      </c>
      <c r="D1022" s="3" t="s">
        <v>2255</v>
      </c>
      <c r="E1022" s="3" t="s">
        <v>604</v>
      </c>
      <c r="F1022" s="2">
        <v>42291</v>
      </c>
      <c r="G1022" s="2"/>
      <c r="H1022" s="1640" t="s">
        <v>17</v>
      </c>
      <c r="I1022" s="3" t="s">
        <v>41</v>
      </c>
      <c r="J1022" s="3" t="s">
        <v>19</v>
      </c>
      <c r="K1022" s="3"/>
    </row>
    <row r="1023" spans="1:11" ht="72" x14ac:dyDescent="0.3">
      <c r="A1023" s="3" t="s">
        <v>2250</v>
      </c>
      <c r="B1023" s="3" t="str">
        <f>"025212034"</f>
        <v>025212034</v>
      </c>
      <c r="C1023" s="3" t="s">
        <v>1022</v>
      </c>
      <c r="D1023" s="3" t="s">
        <v>2256</v>
      </c>
      <c r="E1023" s="3" t="s">
        <v>604</v>
      </c>
      <c r="F1023" s="2">
        <v>42291</v>
      </c>
      <c r="G1023" s="2"/>
      <c r="H1023" s="1641" t="s">
        <v>17</v>
      </c>
      <c r="I1023" s="3" t="s">
        <v>41</v>
      </c>
      <c r="J1023" s="3" t="s">
        <v>19</v>
      </c>
      <c r="K1023" s="3"/>
    </row>
    <row r="1024" spans="1:11" ht="72" x14ac:dyDescent="0.3">
      <c r="A1024" s="3" t="s">
        <v>2250</v>
      </c>
      <c r="B1024" s="3" t="str">
        <f>"025212097"</f>
        <v>025212097</v>
      </c>
      <c r="C1024" s="3" t="s">
        <v>1022</v>
      </c>
      <c r="D1024" s="3" t="s">
        <v>2257</v>
      </c>
      <c r="E1024" s="3" t="s">
        <v>604</v>
      </c>
      <c r="F1024" s="2">
        <v>42648</v>
      </c>
      <c r="G1024" s="2"/>
      <c r="H1024" s="1642" t="s">
        <v>17</v>
      </c>
      <c r="I1024" s="1643" t="s">
        <v>18</v>
      </c>
      <c r="J1024" s="3" t="s">
        <v>19</v>
      </c>
      <c r="K1024" s="3"/>
    </row>
    <row r="1025" spans="1:11" ht="72" x14ac:dyDescent="0.3">
      <c r="A1025" s="3" t="s">
        <v>2250</v>
      </c>
      <c r="B1025" s="3" t="str">
        <f>"025212046"</f>
        <v>025212046</v>
      </c>
      <c r="C1025" s="3" t="s">
        <v>1022</v>
      </c>
      <c r="D1025" s="3" t="s">
        <v>2258</v>
      </c>
      <c r="E1025" s="3" t="s">
        <v>604</v>
      </c>
      <c r="F1025" s="2">
        <v>42291</v>
      </c>
      <c r="G1025" s="2"/>
      <c r="H1025" s="1644" t="s">
        <v>17</v>
      </c>
      <c r="I1025" s="3" t="s">
        <v>41</v>
      </c>
      <c r="J1025" s="3" t="s">
        <v>19</v>
      </c>
      <c r="K1025" s="3"/>
    </row>
    <row r="1026" spans="1:11" ht="43.2" x14ac:dyDescent="0.3">
      <c r="A1026" s="3" t="s">
        <v>2259</v>
      </c>
      <c r="B1026" s="3" t="str">
        <f>"028181042"</f>
        <v>028181042</v>
      </c>
      <c r="C1026" s="3" t="s">
        <v>760</v>
      </c>
      <c r="D1026" s="3" t="s">
        <v>2260</v>
      </c>
      <c r="E1026" s="3" t="s">
        <v>161</v>
      </c>
      <c r="F1026" s="2">
        <v>43961</v>
      </c>
      <c r="G1026" s="2"/>
      <c r="H1026" s="1645" t="s">
        <v>37</v>
      </c>
      <c r="I1026" s="1646" t="s">
        <v>18</v>
      </c>
      <c r="J1026" s="3" t="s">
        <v>19</v>
      </c>
      <c r="K1026" s="3"/>
    </row>
    <row r="1027" spans="1:11" ht="57.6" x14ac:dyDescent="0.3">
      <c r="A1027" s="3" t="s">
        <v>2261</v>
      </c>
      <c r="B1027" s="3" t="str">
        <f>"003803095"</f>
        <v>003803095</v>
      </c>
      <c r="C1027" s="3" t="s">
        <v>2262</v>
      </c>
      <c r="D1027" s="3" t="s">
        <v>2263</v>
      </c>
      <c r="E1027" s="3" t="s">
        <v>576</v>
      </c>
      <c r="F1027" s="2">
        <v>41640</v>
      </c>
      <c r="G1027" s="2"/>
      <c r="H1027" s="1647" t="s">
        <v>17</v>
      </c>
      <c r="I1027" s="1648" t="s">
        <v>18</v>
      </c>
      <c r="J1027" s="3" t="s">
        <v>19</v>
      </c>
      <c r="K1027" s="3"/>
    </row>
    <row r="1028" spans="1:11" ht="43.2" x14ac:dyDescent="0.3">
      <c r="A1028" s="3" t="s">
        <v>2261</v>
      </c>
      <c r="B1028" s="3" t="str">
        <f>"003803119"</f>
        <v>003803119</v>
      </c>
      <c r="C1028" s="3" t="s">
        <v>2262</v>
      </c>
      <c r="D1028" s="3" t="s">
        <v>2264</v>
      </c>
      <c r="E1028" s="3" t="s">
        <v>576</v>
      </c>
      <c r="F1028" s="2">
        <v>42675</v>
      </c>
      <c r="G1028" s="2"/>
      <c r="H1028" s="1649" t="s">
        <v>17</v>
      </c>
      <c r="I1028" s="1650" t="s">
        <v>18</v>
      </c>
      <c r="J1028" s="3" t="s">
        <v>19</v>
      </c>
      <c r="K1028" s="3"/>
    </row>
    <row r="1029" spans="1:11" ht="43.2" x14ac:dyDescent="0.3">
      <c r="A1029" s="3" t="s">
        <v>2265</v>
      </c>
      <c r="B1029" s="3" t="str">
        <f>"030768028"</f>
        <v>030768028</v>
      </c>
      <c r="C1029" s="3" t="s">
        <v>2266</v>
      </c>
      <c r="D1029" s="3" t="s">
        <v>2267</v>
      </c>
      <c r="E1029" s="3" t="s">
        <v>239</v>
      </c>
      <c r="F1029" s="2">
        <v>42510</v>
      </c>
      <c r="G1029" s="2"/>
      <c r="H1029" s="1651" t="s">
        <v>17</v>
      </c>
      <c r="I1029" s="1652" t="s">
        <v>18</v>
      </c>
      <c r="J1029" s="3" t="s">
        <v>19</v>
      </c>
      <c r="K1029" s="3"/>
    </row>
    <row r="1030" spans="1:11" ht="43.2" x14ac:dyDescent="0.3">
      <c r="A1030" s="3" t="s">
        <v>2265</v>
      </c>
      <c r="B1030" s="3" t="str">
        <f>"030768016"</f>
        <v>030768016</v>
      </c>
      <c r="C1030" s="3" t="s">
        <v>2266</v>
      </c>
      <c r="D1030" s="3" t="s">
        <v>2268</v>
      </c>
      <c r="E1030" s="3" t="s">
        <v>239</v>
      </c>
      <c r="F1030" s="2">
        <v>42521</v>
      </c>
      <c r="G1030" s="2"/>
      <c r="H1030" s="1653" t="s">
        <v>17</v>
      </c>
      <c r="I1030" s="1654" t="s">
        <v>18</v>
      </c>
      <c r="J1030" s="3" t="s">
        <v>19</v>
      </c>
      <c r="K1030" s="3"/>
    </row>
    <row r="1031" spans="1:11" ht="43.2" x14ac:dyDescent="0.3">
      <c r="A1031" s="3" t="s">
        <v>2269</v>
      </c>
      <c r="B1031" s="3" t="str">
        <f>"029720012"</f>
        <v>029720012</v>
      </c>
      <c r="C1031" s="3" t="s">
        <v>760</v>
      </c>
      <c r="D1031" s="3" t="s">
        <v>2270</v>
      </c>
      <c r="E1031" s="3" t="s">
        <v>59</v>
      </c>
      <c r="F1031" s="2">
        <v>43252</v>
      </c>
      <c r="G1031" s="2"/>
      <c r="H1031" s="1655" t="s">
        <v>37</v>
      </c>
      <c r="I1031" s="1656" t="s">
        <v>32</v>
      </c>
      <c r="J1031" s="3" t="s">
        <v>19</v>
      </c>
      <c r="K1031" s="3"/>
    </row>
    <row r="1032" spans="1:11" ht="43.2" x14ac:dyDescent="0.3">
      <c r="A1032" s="3" t="s">
        <v>2269</v>
      </c>
      <c r="B1032" s="3" t="str">
        <f>"029720024"</f>
        <v>029720024</v>
      </c>
      <c r="C1032" s="3" t="s">
        <v>760</v>
      </c>
      <c r="D1032" s="3" t="s">
        <v>2271</v>
      </c>
      <c r="E1032" s="3" t="s">
        <v>59</v>
      </c>
      <c r="F1032" s="2">
        <v>43252</v>
      </c>
      <c r="G1032" s="2"/>
      <c r="H1032" s="1657" t="s">
        <v>37</v>
      </c>
      <c r="I1032" s="1658" t="s">
        <v>32</v>
      </c>
      <c r="J1032" s="3" t="s">
        <v>19</v>
      </c>
      <c r="K1032" s="3"/>
    </row>
    <row r="1033" spans="1:11" ht="43.2" x14ac:dyDescent="0.3">
      <c r="A1033" s="3" t="s">
        <v>2272</v>
      </c>
      <c r="B1033" s="3" t="str">
        <f>"036245013"</f>
        <v>036245013</v>
      </c>
      <c r="C1033" s="3" t="s">
        <v>2273</v>
      </c>
      <c r="D1033" s="3" t="s">
        <v>2274</v>
      </c>
      <c r="E1033" s="3" t="s">
        <v>74</v>
      </c>
      <c r="F1033" s="2">
        <v>43617</v>
      </c>
      <c r="G1033" s="2"/>
      <c r="H1033" s="1659" t="s">
        <v>17</v>
      </c>
      <c r="I1033" s="1660" t="s">
        <v>32</v>
      </c>
      <c r="J1033" s="3" t="s">
        <v>19</v>
      </c>
      <c r="K1033" s="3"/>
    </row>
    <row r="1034" spans="1:11" ht="43.2" x14ac:dyDescent="0.3">
      <c r="A1034" s="3" t="s">
        <v>2275</v>
      </c>
      <c r="B1034" s="3" t="str">
        <f>"036244010"</f>
        <v>036244010</v>
      </c>
      <c r="C1034" s="3" t="s">
        <v>2273</v>
      </c>
      <c r="D1034" s="3" t="s">
        <v>2276</v>
      </c>
      <c r="E1034" s="3" t="s">
        <v>56</v>
      </c>
      <c r="F1034" s="2">
        <v>44378</v>
      </c>
      <c r="G1034" s="2"/>
      <c r="H1034" s="1661" t="s">
        <v>17</v>
      </c>
      <c r="I1034" s="1662" t="s">
        <v>18</v>
      </c>
      <c r="J1034" s="3" t="s">
        <v>19</v>
      </c>
      <c r="K1034" s="3"/>
    </row>
    <row r="1035" spans="1:11" ht="43.2" x14ac:dyDescent="0.3">
      <c r="A1035" s="3" t="s">
        <v>2277</v>
      </c>
      <c r="B1035" s="3" t="str">
        <f>"043644044"</f>
        <v>043644044</v>
      </c>
      <c r="C1035" s="3" t="s">
        <v>2273</v>
      </c>
      <c r="D1035" s="3" t="s">
        <v>2278</v>
      </c>
      <c r="E1035" s="3" t="s">
        <v>64</v>
      </c>
      <c r="F1035" s="2">
        <v>43952</v>
      </c>
      <c r="G1035" s="2"/>
      <c r="H1035" s="1663" t="s">
        <v>17</v>
      </c>
      <c r="I1035" s="3" t="s">
        <v>41</v>
      </c>
      <c r="J1035" s="3" t="s">
        <v>19</v>
      </c>
      <c r="K1035" s="3"/>
    </row>
    <row r="1036" spans="1:11" ht="43.2" x14ac:dyDescent="0.3">
      <c r="A1036" s="3" t="s">
        <v>2279</v>
      </c>
      <c r="B1036" s="3" t="str">
        <f>"044883066"</f>
        <v>044883066</v>
      </c>
      <c r="C1036" s="3" t="s">
        <v>2273</v>
      </c>
      <c r="D1036" s="3" t="s">
        <v>2280</v>
      </c>
      <c r="E1036" s="3" t="s">
        <v>27</v>
      </c>
      <c r="F1036" s="2">
        <v>43644</v>
      </c>
      <c r="G1036" s="2">
        <v>44286</v>
      </c>
      <c r="H1036" s="1664" t="s">
        <v>17</v>
      </c>
      <c r="I1036" s="3" t="s">
        <v>41</v>
      </c>
      <c r="J1036" s="3" t="s">
        <v>19</v>
      </c>
      <c r="K1036" s="3"/>
    </row>
    <row r="1037" spans="1:11" ht="43.2" x14ac:dyDescent="0.3">
      <c r="A1037" s="3" t="s">
        <v>2281</v>
      </c>
      <c r="B1037" s="3" t="str">
        <f>"042893014"</f>
        <v>042893014</v>
      </c>
      <c r="C1037" s="3" t="s">
        <v>2273</v>
      </c>
      <c r="D1037" s="3" t="s">
        <v>2282</v>
      </c>
      <c r="E1037" s="3" t="s">
        <v>99</v>
      </c>
      <c r="F1037" s="2">
        <v>43549</v>
      </c>
      <c r="G1037" s="2">
        <v>44347</v>
      </c>
      <c r="H1037" s="1665" t="s">
        <v>37</v>
      </c>
      <c r="I1037" s="3" t="s">
        <v>41</v>
      </c>
      <c r="J1037" s="3" t="s">
        <v>19</v>
      </c>
      <c r="K1037" s="3"/>
    </row>
    <row r="1038" spans="1:11" ht="43.2" x14ac:dyDescent="0.3">
      <c r="A1038" s="3" t="s">
        <v>2283</v>
      </c>
      <c r="B1038" s="3" t="str">
        <f>"044238032"</f>
        <v>044238032</v>
      </c>
      <c r="C1038" s="3" t="s">
        <v>2284</v>
      </c>
      <c r="D1038" s="3" t="s">
        <v>2285</v>
      </c>
      <c r="E1038" s="3" t="s">
        <v>16</v>
      </c>
      <c r="F1038" s="2">
        <v>43677</v>
      </c>
      <c r="G1038" s="2"/>
      <c r="H1038" s="1666" t="s">
        <v>37</v>
      </c>
      <c r="I1038" s="1667" t="s">
        <v>32</v>
      </c>
      <c r="J1038" s="3" t="s">
        <v>19</v>
      </c>
      <c r="K1038" s="3"/>
    </row>
    <row r="1039" spans="1:11" ht="43.2" x14ac:dyDescent="0.3">
      <c r="A1039" s="3" t="s">
        <v>2283</v>
      </c>
      <c r="B1039" s="3" t="str">
        <f>"044238020"</f>
        <v>044238020</v>
      </c>
      <c r="C1039" s="3" t="s">
        <v>2284</v>
      </c>
      <c r="D1039" s="3" t="s">
        <v>2286</v>
      </c>
      <c r="E1039" s="3" t="s">
        <v>16</v>
      </c>
      <c r="F1039" s="2">
        <v>43677</v>
      </c>
      <c r="G1039" s="2"/>
      <c r="H1039" s="1668" t="s">
        <v>37</v>
      </c>
      <c r="I1039" s="1669" t="s">
        <v>32</v>
      </c>
      <c r="J1039" s="3" t="s">
        <v>19</v>
      </c>
      <c r="K1039" s="3"/>
    </row>
    <row r="1040" spans="1:11" ht="43.2" x14ac:dyDescent="0.3">
      <c r="A1040" s="3" t="s">
        <v>2287</v>
      </c>
      <c r="B1040" s="3" t="str">
        <f>"038642106"</f>
        <v>038642106</v>
      </c>
      <c r="C1040" s="3" t="s">
        <v>2288</v>
      </c>
      <c r="D1040" s="3" t="s">
        <v>2289</v>
      </c>
      <c r="E1040" s="3" t="s">
        <v>83</v>
      </c>
      <c r="F1040" s="2">
        <v>44044</v>
      </c>
      <c r="G1040" s="2"/>
      <c r="H1040" s="1670" t="s">
        <v>17</v>
      </c>
      <c r="I1040" s="1671" t="s">
        <v>18</v>
      </c>
      <c r="J1040" s="3" t="s">
        <v>19</v>
      </c>
      <c r="K1040" s="3"/>
    </row>
    <row r="1041" spans="1:11" ht="43.2" x14ac:dyDescent="0.3">
      <c r="A1041" s="3" t="s">
        <v>2287</v>
      </c>
      <c r="B1041" s="3" t="str">
        <f>"038642171"</f>
        <v>038642171</v>
      </c>
      <c r="C1041" s="3" t="s">
        <v>2288</v>
      </c>
      <c r="D1041" s="3" t="s">
        <v>2290</v>
      </c>
      <c r="E1041" s="3" t="s">
        <v>83</v>
      </c>
      <c r="F1041" s="2">
        <v>44044</v>
      </c>
      <c r="G1041" s="2"/>
      <c r="H1041" s="1672" t="s">
        <v>17</v>
      </c>
      <c r="I1041" s="1673" t="s">
        <v>18</v>
      </c>
      <c r="J1041" s="3" t="s">
        <v>19</v>
      </c>
      <c r="K1041" s="3"/>
    </row>
    <row r="1042" spans="1:11" ht="43.2" x14ac:dyDescent="0.3">
      <c r="A1042" s="3" t="s">
        <v>2287</v>
      </c>
      <c r="B1042" s="3" t="str">
        <f>"038642245"</f>
        <v>038642245</v>
      </c>
      <c r="C1042" s="3" t="s">
        <v>2288</v>
      </c>
      <c r="D1042" s="3" t="s">
        <v>2291</v>
      </c>
      <c r="E1042" s="3" t="s">
        <v>83</v>
      </c>
      <c r="F1042" s="2">
        <v>44044</v>
      </c>
      <c r="G1042" s="2"/>
      <c r="H1042" s="1674" t="s">
        <v>17</v>
      </c>
      <c r="I1042" s="1675" t="s">
        <v>18</v>
      </c>
      <c r="J1042" s="3" t="s">
        <v>19</v>
      </c>
      <c r="K1042" s="3"/>
    </row>
    <row r="1043" spans="1:11" ht="43.2" x14ac:dyDescent="0.3">
      <c r="A1043" s="3" t="s">
        <v>2292</v>
      </c>
      <c r="B1043" s="3" t="str">
        <f>"036958015"</f>
        <v>036958015</v>
      </c>
      <c r="C1043" s="3" t="s">
        <v>2288</v>
      </c>
      <c r="D1043" s="3" t="s">
        <v>2293</v>
      </c>
      <c r="E1043" s="3" t="s">
        <v>56</v>
      </c>
      <c r="F1043" s="2">
        <v>43983</v>
      </c>
      <c r="G1043" s="2"/>
      <c r="H1043" s="1676" t="s">
        <v>17</v>
      </c>
      <c r="I1043" s="1677" t="s">
        <v>18</v>
      </c>
      <c r="J1043" s="3" t="s">
        <v>19</v>
      </c>
      <c r="K1043" s="3"/>
    </row>
    <row r="1044" spans="1:11" ht="57.6" x14ac:dyDescent="0.3">
      <c r="A1044" s="3" t="s">
        <v>2294</v>
      </c>
      <c r="B1044" s="3" t="str">
        <f>"038529057"</f>
        <v>038529057</v>
      </c>
      <c r="C1044" s="3" t="s">
        <v>2295</v>
      </c>
      <c r="D1044" s="3" t="s">
        <v>2296</v>
      </c>
      <c r="E1044" s="3" t="s">
        <v>1298</v>
      </c>
      <c r="F1044" s="2">
        <v>44205</v>
      </c>
      <c r="G1044" s="2">
        <v>44347</v>
      </c>
      <c r="H1044" s="1678" t="s">
        <v>17</v>
      </c>
      <c r="I1044" s="3" t="s">
        <v>41</v>
      </c>
      <c r="J1044" s="3" t="s">
        <v>19</v>
      </c>
      <c r="K1044" s="3"/>
    </row>
    <row r="1045" spans="1:11" ht="43.2" x14ac:dyDescent="0.3">
      <c r="A1045" s="3" t="s">
        <v>2297</v>
      </c>
      <c r="B1045" s="3" t="str">
        <f>"026851016"</f>
        <v>026851016</v>
      </c>
      <c r="C1045" s="3" t="s">
        <v>2298</v>
      </c>
      <c r="D1045" s="3" t="s">
        <v>2299</v>
      </c>
      <c r="E1045" s="3" t="s">
        <v>151</v>
      </c>
      <c r="F1045" s="2">
        <v>43714</v>
      </c>
      <c r="G1045" s="2">
        <v>44196</v>
      </c>
      <c r="H1045" s="1679" t="s">
        <v>17</v>
      </c>
      <c r="I1045" s="3" t="s">
        <v>41</v>
      </c>
      <c r="J1045" s="3" t="s">
        <v>19</v>
      </c>
      <c r="K1045" s="3"/>
    </row>
    <row r="1046" spans="1:11" ht="43.2" x14ac:dyDescent="0.3">
      <c r="A1046" s="3" t="s">
        <v>2297</v>
      </c>
      <c r="B1046" s="3" t="str">
        <f>"026851028"</f>
        <v>026851028</v>
      </c>
      <c r="C1046" s="3" t="s">
        <v>2298</v>
      </c>
      <c r="D1046" s="3" t="s">
        <v>2300</v>
      </c>
      <c r="E1046" s="3" t="s">
        <v>151</v>
      </c>
      <c r="F1046" s="2">
        <v>43733</v>
      </c>
      <c r="G1046" s="2">
        <v>44196</v>
      </c>
      <c r="H1046" s="1680" t="s">
        <v>17</v>
      </c>
      <c r="I1046" s="3" t="s">
        <v>41</v>
      </c>
      <c r="J1046" s="3" t="s">
        <v>19</v>
      </c>
      <c r="K1046" s="3"/>
    </row>
    <row r="1047" spans="1:11" ht="57.6" x14ac:dyDescent="0.3">
      <c r="A1047" s="3" t="s">
        <v>2301</v>
      </c>
      <c r="B1047" s="3" t="str">
        <f>"029636014"</f>
        <v>029636014</v>
      </c>
      <c r="C1047" s="3" t="s">
        <v>2302</v>
      </c>
      <c r="D1047" s="3" t="s">
        <v>2303</v>
      </c>
      <c r="E1047" s="3" t="s">
        <v>2304</v>
      </c>
      <c r="F1047" s="2">
        <v>42948</v>
      </c>
      <c r="G1047" s="2">
        <v>43860</v>
      </c>
      <c r="H1047" s="1681" t="s">
        <v>37</v>
      </c>
      <c r="I1047" s="1682" t="s">
        <v>32</v>
      </c>
      <c r="J1047" s="3" t="s">
        <v>156</v>
      </c>
      <c r="K1047" s="3"/>
    </row>
    <row r="1048" spans="1:11" ht="43.2" x14ac:dyDescent="0.3">
      <c r="A1048" s="3" t="s">
        <v>2305</v>
      </c>
      <c r="B1048" s="3" t="str">
        <f>"032183042"</f>
        <v>032183042</v>
      </c>
      <c r="C1048" s="3" t="s">
        <v>2302</v>
      </c>
      <c r="D1048" s="3" t="s">
        <v>2306</v>
      </c>
      <c r="E1048" s="3" t="s">
        <v>2307</v>
      </c>
      <c r="F1048" s="2">
        <v>43203</v>
      </c>
      <c r="G1048" s="2"/>
      <c r="H1048" s="1683" t="s">
        <v>17</v>
      </c>
      <c r="I1048" s="1684" t="s">
        <v>32</v>
      </c>
      <c r="J1048" s="3" t="s">
        <v>19</v>
      </c>
      <c r="K1048" s="3"/>
    </row>
    <row r="1049" spans="1:11" ht="43.2" x14ac:dyDescent="0.3">
      <c r="A1049" s="3" t="s">
        <v>2305</v>
      </c>
      <c r="B1049" s="3" t="str">
        <f>"032183067"</f>
        <v>032183067</v>
      </c>
      <c r="C1049" s="3" t="s">
        <v>2302</v>
      </c>
      <c r="D1049" s="3" t="s">
        <v>2308</v>
      </c>
      <c r="E1049" s="3" t="s">
        <v>2307</v>
      </c>
      <c r="F1049" s="2">
        <v>42387</v>
      </c>
      <c r="G1049" s="2"/>
      <c r="H1049" s="1685" t="s">
        <v>17</v>
      </c>
      <c r="I1049" s="1686" t="s">
        <v>32</v>
      </c>
      <c r="J1049" s="3" t="s">
        <v>19</v>
      </c>
      <c r="K1049" s="3"/>
    </row>
    <row r="1050" spans="1:11" ht="43.2" x14ac:dyDescent="0.3">
      <c r="A1050" s="3" t="s">
        <v>2309</v>
      </c>
      <c r="B1050" s="3" t="str">
        <f>"031943766"</f>
        <v>031943766</v>
      </c>
      <c r="C1050" s="3" t="s">
        <v>2302</v>
      </c>
      <c r="D1050" s="3" t="s">
        <v>2310</v>
      </c>
      <c r="E1050" s="3" t="s">
        <v>239</v>
      </c>
      <c r="F1050" s="2">
        <v>43876</v>
      </c>
      <c r="G1050" s="2"/>
      <c r="H1050" s="1687" t="s">
        <v>17</v>
      </c>
      <c r="I1050" s="1688" t="s">
        <v>32</v>
      </c>
      <c r="J1050" s="3" t="s">
        <v>19</v>
      </c>
      <c r="K1050" s="3"/>
    </row>
    <row r="1051" spans="1:11" ht="43.2" x14ac:dyDescent="0.3">
      <c r="A1051" s="3" t="s">
        <v>2309</v>
      </c>
      <c r="B1051" s="3" t="str">
        <f>"031943778"</f>
        <v>031943778</v>
      </c>
      <c r="C1051" s="3" t="s">
        <v>2302</v>
      </c>
      <c r="D1051" s="3" t="s">
        <v>2311</v>
      </c>
      <c r="E1051" s="3" t="s">
        <v>239</v>
      </c>
      <c r="F1051" s="2">
        <v>43841</v>
      </c>
      <c r="G1051" s="2"/>
      <c r="H1051" s="1689" t="s">
        <v>17</v>
      </c>
      <c r="I1051" s="1690" t="s">
        <v>32</v>
      </c>
      <c r="J1051" s="3" t="s">
        <v>19</v>
      </c>
      <c r="K1051" s="3"/>
    </row>
    <row r="1052" spans="1:11" ht="43.2" x14ac:dyDescent="0.3">
      <c r="A1052" s="3" t="s">
        <v>2312</v>
      </c>
      <c r="B1052" s="3" t="str">
        <f>"044875019"</f>
        <v>044875019</v>
      </c>
      <c r="C1052" s="3" t="s">
        <v>2302</v>
      </c>
      <c r="D1052" s="3" t="s">
        <v>2313</v>
      </c>
      <c r="E1052" s="3" t="s">
        <v>2314</v>
      </c>
      <c r="F1052" s="2">
        <v>43922</v>
      </c>
      <c r="G1052" s="2"/>
      <c r="H1052" s="1691" t="s">
        <v>17</v>
      </c>
      <c r="I1052" s="1692" t="s">
        <v>18</v>
      </c>
      <c r="J1052" s="3" t="s">
        <v>19</v>
      </c>
      <c r="K1052" s="3"/>
    </row>
    <row r="1053" spans="1:11" ht="43.2" x14ac:dyDescent="0.3">
      <c r="A1053" s="3" t="s">
        <v>2315</v>
      </c>
      <c r="B1053" s="3" t="str">
        <f>"034958013"</f>
        <v>034958013</v>
      </c>
      <c r="C1053" s="3" t="s">
        <v>2316</v>
      </c>
      <c r="D1053" s="3" t="s">
        <v>2317</v>
      </c>
      <c r="E1053" s="3" t="s">
        <v>1298</v>
      </c>
      <c r="F1053" s="2">
        <v>43799</v>
      </c>
      <c r="G1053" s="2"/>
      <c r="H1053" s="1693" t="s">
        <v>17</v>
      </c>
      <c r="I1053" s="1694" t="s">
        <v>18</v>
      </c>
      <c r="J1053" s="3" t="s">
        <v>19</v>
      </c>
      <c r="K1053" s="3"/>
    </row>
    <row r="1054" spans="1:11" ht="43.2" x14ac:dyDescent="0.3">
      <c r="A1054" s="3" t="s">
        <v>2315</v>
      </c>
      <c r="B1054" s="3" t="str">
        <f>"034958049"</f>
        <v>034958049</v>
      </c>
      <c r="C1054" s="3" t="s">
        <v>2316</v>
      </c>
      <c r="D1054" s="3" t="s">
        <v>2318</v>
      </c>
      <c r="E1054" s="3" t="s">
        <v>1298</v>
      </c>
      <c r="F1054" s="2">
        <v>43799</v>
      </c>
      <c r="G1054" s="2"/>
      <c r="H1054" s="1695" t="s">
        <v>17</v>
      </c>
      <c r="I1054" s="1696" t="s">
        <v>18</v>
      </c>
      <c r="J1054" s="3" t="s">
        <v>19</v>
      </c>
      <c r="K1054" s="3"/>
    </row>
    <row r="1055" spans="1:11" ht="72" x14ac:dyDescent="0.3">
      <c r="A1055" s="3" t="s">
        <v>2319</v>
      </c>
      <c r="B1055" s="3" t="str">
        <f>"028087029"</f>
        <v>028087029</v>
      </c>
      <c r="C1055" s="3" t="s">
        <v>2320</v>
      </c>
      <c r="D1055" s="3" t="s">
        <v>2321</v>
      </c>
      <c r="E1055" s="3" t="s">
        <v>1186</v>
      </c>
      <c r="F1055" s="2">
        <v>43486</v>
      </c>
      <c r="G1055" s="2"/>
      <c r="H1055" s="1697" t="s">
        <v>17</v>
      </c>
      <c r="I1055" s="3" t="s">
        <v>41</v>
      </c>
      <c r="J1055" s="3" t="s">
        <v>156</v>
      </c>
      <c r="K1055" s="3"/>
    </row>
    <row r="1056" spans="1:11" ht="43.2" x14ac:dyDescent="0.3">
      <c r="A1056" s="3" t="s">
        <v>2322</v>
      </c>
      <c r="B1056" s="3" t="str">
        <f>"033501014"</f>
        <v>033501014</v>
      </c>
      <c r="C1056" s="3" t="s">
        <v>2323</v>
      </c>
      <c r="D1056" s="3" t="s">
        <v>2324</v>
      </c>
      <c r="E1056" s="3" t="s">
        <v>2325</v>
      </c>
      <c r="F1056" s="2">
        <v>43862</v>
      </c>
      <c r="G1056" s="2"/>
      <c r="H1056" s="1698" t="s">
        <v>17</v>
      </c>
      <c r="I1056" s="1699" t="s">
        <v>32</v>
      </c>
      <c r="J1056" s="3" t="s">
        <v>19</v>
      </c>
      <c r="K1056" s="3"/>
    </row>
    <row r="1057" spans="1:11" ht="43.2" x14ac:dyDescent="0.3">
      <c r="A1057" s="3" t="s">
        <v>2322</v>
      </c>
      <c r="B1057" s="3" t="str">
        <f>"033501038"</f>
        <v>033501038</v>
      </c>
      <c r="C1057" s="3" t="s">
        <v>2323</v>
      </c>
      <c r="D1057" s="3" t="s">
        <v>2326</v>
      </c>
      <c r="E1057" s="3" t="s">
        <v>2325</v>
      </c>
      <c r="F1057" s="2">
        <v>41206</v>
      </c>
      <c r="G1057" s="2"/>
      <c r="H1057" s="1700" t="s">
        <v>17</v>
      </c>
      <c r="I1057" s="1701" t="s">
        <v>18</v>
      </c>
      <c r="J1057" s="3" t="s">
        <v>19</v>
      </c>
      <c r="K1057" s="3"/>
    </row>
    <row r="1058" spans="1:11" ht="43.2" x14ac:dyDescent="0.3">
      <c r="A1058" s="3" t="s">
        <v>2327</v>
      </c>
      <c r="B1058" s="3" t="str">
        <f>"032873010"</f>
        <v>032873010</v>
      </c>
      <c r="C1058" s="3" t="s">
        <v>2328</v>
      </c>
      <c r="D1058" s="3" t="s">
        <v>2329</v>
      </c>
      <c r="E1058" s="3" t="s">
        <v>59</v>
      </c>
      <c r="F1058" s="2">
        <v>43252</v>
      </c>
      <c r="G1058" s="2"/>
      <c r="H1058" s="1702" t="s">
        <v>17</v>
      </c>
      <c r="I1058" s="1703" t="s">
        <v>32</v>
      </c>
      <c r="J1058" s="3" t="s">
        <v>19</v>
      </c>
      <c r="K1058" s="3"/>
    </row>
    <row r="1059" spans="1:11" ht="43.2" x14ac:dyDescent="0.3">
      <c r="A1059" s="3" t="s">
        <v>2330</v>
      </c>
      <c r="B1059" s="3" t="str">
        <f>"032199010"</f>
        <v>032199010</v>
      </c>
      <c r="C1059" s="3" t="s">
        <v>763</v>
      </c>
      <c r="D1059" s="3" t="s">
        <v>2331</v>
      </c>
      <c r="E1059" s="3" t="s">
        <v>2325</v>
      </c>
      <c r="F1059" s="2">
        <v>43132</v>
      </c>
      <c r="G1059" s="2"/>
      <c r="H1059" s="1704" t="s">
        <v>17</v>
      </c>
      <c r="I1059" s="1705" t="s">
        <v>32</v>
      </c>
      <c r="J1059" s="3" t="s">
        <v>19</v>
      </c>
      <c r="K1059" s="3"/>
    </row>
    <row r="1060" spans="1:11" ht="43.2" x14ac:dyDescent="0.3">
      <c r="A1060" s="3" t="s">
        <v>2330</v>
      </c>
      <c r="B1060" s="3" t="str">
        <f>"032199022"</f>
        <v>032199022</v>
      </c>
      <c r="C1060" s="3" t="s">
        <v>763</v>
      </c>
      <c r="D1060" s="3" t="s">
        <v>2332</v>
      </c>
      <c r="E1060" s="3" t="s">
        <v>2325</v>
      </c>
      <c r="F1060" s="2">
        <v>43831</v>
      </c>
      <c r="G1060" s="2"/>
      <c r="H1060" s="1706" t="s">
        <v>17</v>
      </c>
      <c r="I1060" s="1707" t="s">
        <v>32</v>
      </c>
      <c r="J1060" s="3" t="s">
        <v>19</v>
      </c>
      <c r="K1060" s="3"/>
    </row>
    <row r="1061" spans="1:11" ht="43.2" x14ac:dyDescent="0.3">
      <c r="A1061" s="3" t="s">
        <v>2330</v>
      </c>
      <c r="B1061" s="3" t="str">
        <f>"032199034"</f>
        <v>032199034</v>
      </c>
      <c r="C1061" s="3" t="s">
        <v>763</v>
      </c>
      <c r="D1061" s="3" t="s">
        <v>2333</v>
      </c>
      <c r="E1061" s="3" t="s">
        <v>2325</v>
      </c>
      <c r="F1061" s="2">
        <v>43160</v>
      </c>
      <c r="G1061" s="2"/>
      <c r="H1061" s="1708" t="s">
        <v>17</v>
      </c>
      <c r="I1061" s="1709" t="s">
        <v>32</v>
      </c>
      <c r="J1061" s="3" t="s">
        <v>19</v>
      </c>
      <c r="K1061" s="3"/>
    </row>
    <row r="1062" spans="1:11" ht="43.2" x14ac:dyDescent="0.3">
      <c r="A1062" s="3" t="s">
        <v>2330</v>
      </c>
      <c r="B1062" s="3" t="str">
        <f>"032199061"</f>
        <v>032199061</v>
      </c>
      <c r="C1062" s="3" t="s">
        <v>763</v>
      </c>
      <c r="D1062" s="3" t="s">
        <v>2334</v>
      </c>
      <c r="E1062" s="3" t="s">
        <v>2325</v>
      </c>
      <c r="F1062" s="2">
        <v>42947</v>
      </c>
      <c r="G1062" s="2"/>
      <c r="H1062" s="1710" t="s">
        <v>17</v>
      </c>
      <c r="I1062" s="1711" t="s">
        <v>18</v>
      </c>
      <c r="J1062" s="3" t="s">
        <v>19</v>
      </c>
      <c r="K1062" s="3"/>
    </row>
    <row r="1063" spans="1:11" ht="43.2" x14ac:dyDescent="0.3">
      <c r="A1063" s="3" t="s">
        <v>2330</v>
      </c>
      <c r="B1063" s="3" t="str">
        <f>"032199059"</f>
        <v>032199059</v>
      </c>
      <c r="C1063" s="3" t="s">
        <v>763</v>
      </c>
      <c r="D1063" s="3" t="s">
        <v>2335</v>
      </c>
      <c r="E1063" s="3" t="s">
        <v>2325</v>
      </c>
      <c r="F1063" s="2">
        <v>42947</v>
      </c>
      <c r="G1063" s="2"/>
      <c r="H1063" s="1712" t="s">
        <v>17</v>
      </c>
      <c r="I1063" s="1713" t="s">
        <v>18</v>
      </c>
      <c r="J1063" s="3" t="s">
        <v>19</v>
      </c>
      <c r="K1063" s="3"/>
    </row>
    <row r="1064" spans="1:11" ht="43.2" x14ac:dyDescent="0.3">
      <c r="A1064" s="3" t="s">
        <v>2336</v>
      </c>
      <c r="B1064" s="3" t="str">
        <f>"029152028"</f>
        <v>029152028</v>
      </c>
      <c r="C1064" s="3" t="s">
        <v>2059</v>
      </c>
      <c r="D1064" s="3" t="s">
        <v>2337</v>
      </c>
      <c r="E1064" s="3" t="s">
        <v>1497</v>
      </c>
      <c r="F1064" s="2">
        <v>43709</v>
      </c>
      <c r="G1064" s="2"/>
      <c r="H1064" s="1714" t="s">
        <v>17</v>
      </c>
      <c r="I1064" s="1715" t="s">
        <v>32</v>
      </c>
      <c r="J1064" s="3" t="s">
        <v>19</v>
      </c>
      <c r="K1064" s="3"/>
    </row>
    <row r="1065" spans="1:11" ht="86.4" x14ac:dyDescent="0.3">
      <c r="A1065" s="3" t="s">
        <v>2338</v>
      </c>
      <c r="B1065" s="3" t="str">
        <f>"028686044"</f>
        <v>028686044</v>
      </c>
      <c r="C1065" s="3" t="s">
        <v>2339</v>
      </c>
      <c r="D1065" s="3" t="s">
        <v>2340</v>
      </c>
      <c r="E1065" s="3" t="s">
        <v>750</v>
      </c>
      <c r="F1065" s="2">
        <v>42643</v>
      </c>
      <c r="G1065" s="2"/>
      <c r="H1065" s="1716" t="s">
        <v>17</v>
      </c>
      <c r="I1065" s="1717" t="s">
        <v>18</v>
      </c>
      <c r="J1065" s="3" t="s">
        <v>19</v>
      </c>
      <c r="K1065" s="3"/>
    </row>
    <row r="1066" spans="1:11" ht="43.2" x14ac:dyDescent="0.3">
      <c r="A1066" s="3" t="s">
        <v>2341</v>
      </c>
      <c r="B1066" s="3" t="str">
        <f>"045184013"</f>
        <v>045184013</v>
      </c>
      <c r="C1066" s="3" t="s">
        <v>2342</v>
      </c>
      <c r="D1066" s="3" t="s">
        <v>2343</v>
      </c>
      <c r="E1066" s="3" t="s">
        <v>16</v>
      </c>
      <c r="F1066" s="2">
        <v>43435</v>
      </c>
      <c r="G1066" s="2"/>
      <c r="H1066" s="1718" t="s">
        <v>17</v>
      </c>
      <c r="I1066" s="1719" t="s">
        <v>32</v>
      </c>
      <c r="J1066" s="3" t="s">
        <v>19</v>
      </c>
      <c r="K1066" s="3"/>
    </row>
    <row r="1067" spans="1:11" ht="100.8" x14ac:dyDescent="0.3">
      <c r="A1067" s="3" t="s">
        <v>2344</v>
      </c>
      <c r="B1067" s="3" t="str">
        <f>"039072020"</f>
        <v>039072020</v>
      </c>
      <c r="C1067" s="3" t="s">
        <v>281</v>
      </c>
      <c r="D1067" s="3" t="s">
        <v>2345</v>
      </c>
      <c r="E1067" s="3" t="s">
        <v>2346</v>
      </c>
      <c r="F1067" s="2">
        <v>43402</v>
      </c>
      <c r="G1067" s="2"/>
      <c r="H1067" s="1720" t="s">
        <v>17</v>
      </c>
      <c r="I1067" s="1721" t="s">
        <v>32</v>
      </c>
      <c r="J1067" s="3" t="s">
        <v>19</v>
      </c>
      <c r="K1067" s="3"/>
    </row>
    <row r="1068" spans="1:11" ht="100.8" x14ac:dyDescent="0.3">
      <c r="A1068" s="3" t="s">
        <v>2344</v>
      </c>
      <c r="B1068" s="3" t="str">
        <f>"039072032"</f>
        <v>039072032</v>
      </c>
      <c r="C1068" s="3" t="s">
        <v>281</v>
      </c>
      <c r="D1068" s="3" t="s">
        <v>2347</v>
      </c>
      <c r="E1068" s="3" t="s">
        <v>2346</v>
      </c>
      <c r="F1068" s="2">
        <v>43402</v>
      </c>
      <c r="G1068" s="2"/>
      <c r="H1068" s="1722" t="s">
        <v>17</v>
      </c>
      <c r="I1068" s="1723" t="s">
        <v>32</v>
      </c>
      <c r="J1068" s="3" t="s">
        <v>19</v>
      </c>
      <c r="K1068" s="3"/>
    </row>
    <row r="1069" spans="1:11" ht="72" x14ac:dyDescent="0.3">
      <c r="A1069" s="3" t="s">
        <v>2348</v>
      </c>
      <c r="B1069" s="3" t="str">
        <f>"028725125"</f>
        <v>028725125</v>
      </c>
      <c r="C1069" s="3" t="s">
        <v>612</v>
      </c>
      <c r="D1069" s="3" t="s">
        <v>2349</v>
      </c>
      <c r="E1069" s="3" t="s">
        <v>604</v>
      </c>
      <c r="F1069" s="2">
        <v>44044</v>
      </c>
      <c r="G1069" s="2">
        <v>44196</v>
      </c>
      <c r="H1069" s="1724" t="s">
        <v>37</v>
      </c>
      <c r="I1069" s="3" t="s">
        <v>104</v>
      </c>
      <c r="J1069" s="3" t="s">
        <v>156</v>
      </c>
      <c r="K1069" s="3"/>
    </row>
    <row r="1070" spans="1:11" ht="57.6" x14ac:dyDescent="0.3">
      <c r="A1070" s="3" t="s">
        <v>2350</v>
      </c>
      <c r="B1070" s="3" t="str">
        <f>"035262017"</f>
        <v>035262017</v>
      </c>
      <c r="C1070" s="3" t="s">
        <v>2351</v>
      </c>
      <c r="D1070" s="3" t="s">
        <v>2352</v>
      </c>
      <c r="E1070" s="3" t="s">
        <v>2199</v>
      </c>
      <c r="F1070" s="2">
        <v>43061</v>
      </c>
      <c r="G1070" s="2"/>
      <c r="H1070" s="1725" t="s">
        <v>17</v>
      </c>
      <c r="I1070" s="1726" t="s">
        <v>18</v>
      </c>
      <c r="J1070" s="3" t="s">
        <v>19</v>
      </c>
      <c r="K1070" s="3"/>
    </row>
    <row r="1071" spans="1:11" ht="57.6" x14ac:dyDescent="0.3">
      <c r="A1071" s="3" t="s">
        <v>2350</v>
      </c>
      <c r="B1071" s="3" t="str">
        <f>"035262070"</f>
        <v>035262070</v>
      </c>
      <c r="C1071" s="3" t="s">
        <v>2351</v>
      </c>
      <c r="D1071" s="3" t="s">
        <v>2353</v>
      </c>
      <c r="E1071" s="3" t="s">
        <v>2199</v>
      </c>
      <c r="F1071" s="2">
        <v>43061</v>
      </c>
      <c r="G1071" s="2"/>
      <c r="H1071" s="1727" t="s">
        <v>37</v>
      </c>
      <c r="I1071" s="1728" t="s">
        <v>18</v>
      </c>
      <c r="J1071" s="3" t="s">
        <v>156</v>
      </c>
      <c r="K1071" s="3"/>
    </row>
    <row r="1072" spans="1:11" ht="57.6" x14ac:dyDescent="0.3">
      <c r="A1072" s="3" t="s">
        <v>2350</v>
      </c>
      <c r="B1072" s="3" t="str">
        <f>"035262157"</f>
        <v>035262157</v>
      </c>
      <c r="C1072" s="3" t="s">
        <v>2351</v>
      </c>
      <c r="D1072" s="3" t="s">
        <v>2354</v>
      </c>
      <c r="E1072" s="3" t="s">
        <v>2199</v>
      </c>
      <c r="F1072" s="2">
        <v>43444</v>
      </c>
      <c r="G1072" s="2"/>
      <c r="H1072" s="1729" t="s">
        <v>37</v>
      </c>
      <c r="I1072" s="3" t="s">
        <v>41</v>
      </c>
      <c r="J1072" s="3" t="s">
        <v>156</v>
      </c>
      <c r="K1072" s="3"/>
    </row>
    <row r="1073" spans="1:11" ht="57.6" x14ac:dyDescent="0.3">
      <c r="A1073" s="3" t="s">
        <v>2350</v>
      </c>
      <c r="B1073" s="3" t="str">
        <f>"035262284"</f>
        <v>035262284</v>
      </c>
      <c r="C1073" s="3" t="s">
        <v>2351</v>
      </c>
      <c r="D1073" s="3" t="s">
        <v>2355</v>
      </c>
      <c r="E1073" s="3" t="s">
        <v>2199</v>
      </c>
      <c r="F1073" s="2">
        <v>42782</v>
      </c>
      <c r="G1073" s="2"/>
      <c r="H1073" s="1730" t="s">
        <v>37</v>
      </c>
      <c r="I1073" s="3" t="s">
        <v>41</v>
      </c>
      <c r="J1073" s="3" t="s">
        <v>156</v>
      </c>
      <c r="K1073" s="3"/>
    </row>
    <row r="1074" spans="1:11" ht="86.4" x14ac:dyDescent="0.3">
      <c r="A1074" s="3" t="s">
        <v>2356</v>
      </c>
      <c r="B1074" s="3" t="str">
        <f>"031902012"</f>
        <v>031902012</v>
      </c>
      <c r="C1074" s="3" t="s">
        <v>2357</v>
      </c>
      <c r="D1074" s="3" t="s">
        <v>2358</v>
      </c>
      <c r="E1074" s="3" t="s">
        <v>604</v>
      </c>
      <c r="F1074" s="2">
        <v>44221</v>
      </c>
      <c r="G1074" s="2">
        <v>44316</v>
      </c>
      <c r="H1074" s="1731" t="s">
        <v>37</v>
      </c>
      <c r="I1074" s="3" t="s">
        <v>41</v>
      </c>
      <c r="J1074" s="3" t="s">
        <v>156</v>
      </c>
      <c r="K1074" s="3" t="s">
        <v>2359</v>
      </c>
    </row>
    <row r="1075" spans="1:11" ht="57.6" x14ac:dyDescent="0.3">
      <c r="A1075" s="3" t="s">
        <v>2360</v>
      </c>
      <c r="B1075" s="3" t="str">
        <f>"041157013"</f>
        <v>041157013</v>
      </c>
      <c r="C1075" s="3" t="s">
        <v>2361</v>
      </c>
      <c r="D1075" s="3" t="s">
        <v>2362</v>
      </c>
      <c r="E1075" s="3" t="s">
        <v>218</v>
      </c>
      <c r="F1075" s="2">
        <v>44090</v>
      </c>
      <c r="G1075" s="2">
        <v>44561</v>
      </c>
      <c r="H1075" s="1732" t="s">
        <v>17</v>
      </c>
      <c r="I1075" s="3" t="s">
        <v>152</v>
      </c>
      <c r="J1075" s="3" t="s">
        <v>19</v>
      </c>
      <c r="K1075" s="3"/>
    </row>
    <row r="1076" spans="1:11" ht="57.6" x14ac:dyDescent="0.3">
      <c r="A1076" s="3" t="s">
        <v>2360</v>
      </c>
      <c r="B1076" s="3" t="str">
        <f>"041157049"</f>
        <v>041157049</v>
      </c>
      <c r="C1076" s="3" t="s">
        <v>2361</v>
      </c>
      <c r="D1076" s="3" t="s">
        <v>2363</v>
      </c>
      <c r="E1076" s="3" t="s">
        <v>218</v>
      </c>
      <c r="F1076" s="2">
        <v>44090</v>
      </c>
      <c r="G1076" s="2">
        <v>44561</v>
      </c>
      <c r="H1076" s="1733" t="s">
        <v>17</v>
      </c>
      <c r="I1076" s="3" t="s">
        <v>152</v>
      </c>
      <c r="J1076" s="3" t="s">
        <v>19</v>
      </c>
      <c r="K1076" s="3"/>
    </row>
    <row r="1077" spans="1:11" ht="57.6" x14ac:dyDescent="0.3">
      <c r="A1077" s="3" t="s">
        <v>2360</v>
      </c>
      <c r="B1077" s="3" t="str">
        <f>"041157102"</f>
        <v>041157102</v>
      </c>
      <c r="C1077" s="3" t="s">
        <v>2361</v>
      </c>
      <c r="D1077" s="3" t="s">
        <v>2364</v>
      </c>
      <c r="E1077" s="3" t="s">
        <v>218</v>
      </c>
      <c r="F1077" s="2">
        <v>44090</v>
      </c>
      <c r="G1077" s="2">
        <v>44561</v>
      </c>
      <c r="H1077" s="1734" t="s">
        <v>17</v>
      </c>
      <c r="I1077" s="3" t="s">
        <v>152</v>
      </c>
      <c r="J1077" s="3" t="s">
        <v>19</v>
      </c>
      <c r="K1077" s="3"/>
    </row>
    <row r="1078" spans="1:11" ht="57.6" x14ac:dyDescent="0.3">
      <c r="A1078" s="3" t="s">
        <v>2360</v>
      </c>
      <c r="B1078" s="3" t="str">
        <f>"041157138"</f>
        <v>041157138</v>
      </c>
      <c r="C1078" s="3" t="s">
        <v>2361</v>
      </c>
      <c r="D1078" s="3" t="s">
        <v>2365</v>
      </c>
      <c r="E1078" s="3" t="s">
        <v>218</v>
      </c>
      <c r="F1078" s="2">
        <v>44090</v>
      </c>
      <c r="G1078" s="2">
        <v>44561</v>
      </c>
      <c r="H1078" s="1735" t="s">
        <v>17</v>
      </c>
      <c r="I1078" s="3" t="s">
        <v>152</v>
      </c>
      <c r="J1078" s="3" t="s">
        <v>19</v>
      </c>
      <c r="K1078" s="3"/>
    </row>
    <row r="1079" spans="1:11" ht="72" x14ac:dyDescent="0.3">
      <c r="A1079" s="3" t="s">
        <v>2366</v>
      </c>
      <c r="B1079" s="3" t="str">
        <f>"033637277"</f>
        <v>033637277</v>
      </c>
      <c r="C1079" s="3" t="s">
        <v>2367</v>
      </c>
      <c r="D1079" s="3" t="s">
        <v>2368</v>
      </c>
      <c r="E1079" s="3" t="s">
        <v>420</v>
      </c>
      <c r="F1079" s="2">
        <v>42614</v>
      </c>
      <c r="G1079" s="2"/>
      <c r="H1079" s="1736" t="s">
        <v>37</v>
      </c>
      <c r="I1079" s="1737" t="s">
        <v>18</v>
      </c>
      <c r="J1079" s="3" t="s">
        <v>19</v>
      </c>
      <c r="K1079" s="3"/>
    </row>
    <row r="1080" spans="1:11" ht="43.2" x14ac:dyDescent="0.3">
      <c r="A1080" s="3" t="s">
        <v>2366</v>
      </c>
      <c r="B1080" s="3" t="str">
        <f>"033637113"</f>
        <v>033637113</v>
      </c>
      <c r="C1080" s="3" t="s">
        <v>2367</v>
      </c>
      <c r="D1080" s="3" t="s">
        <v>2369</v>
      </c>
      <c r="E1080" s="3" t="s">
        <v>420</v>
      </c>
      <c r="F1080" s="2">
        <v>42614</v>
      </c>
      <c r="G1080" s="2"/>
      <c r="H1080" s="1738" t="s">
        <v>37</v>
      </c>
      <c r="I1080" s="1739" t="s">
        <v>18</v>
      </c>
      <c r="J1080" s="3" t="s">
        <v>19</v>
      </c>
      <c r="K1080" s="3"/>
    </row>
    <row r="1081" spans="1:11" ht="115.2" x14ac:dyDescent="0.3">
      <c r="A1081" s="3" t="s">
        <v>2370</v>
      </c>
      <c r="B1081" s="3" t="str">
        <f>"035946019"</f>
        <v>035946019</v>
      </c>
      <c r="C1081" s="3" t="s">
        <v>2371</v>
      </c>
      <c r="D1081" s="3" t="s">
        <v>2372</v>
      </c>
      <c r="E1081" s="3" t="s">
        <v>1913</v>
      </c>
      <c r="F1081" s="2">
        <v>43524</v>
      </c>
      <c r="G1081" s="2"/>
      <c r="H1081" s="1740" t="s">
        <v>17</v>
      </c>
      <c r="I1081" s="1741" t="s">
        <v>18</v>
      </c>
      <c r="J1081" s="3" t="s">
        <v>19</v>
      </c>
      <c r="K1081" s="3"/>
    </row>
    <row r="1082" spans="1:11" ht="86.4" x14ac:dyDescent="0.3">
      <c r="A1082" s="3" t="s">
        <v>2370</v>
      </c>
      <c r="B1082" s="3" t="str">
        <f>"035946134"</f>
        <v>035946134</v>
      </c>
      <c r="C1082" s="3" t="s">
        <v>2371</v>
      </c>
      <c r="D1082" s="3" t="s">
        <v>2373</v>
      </c>
      <c r="E1082" s="3" t="s">
        <v>1913</v>
      </c>
      <c r="F1082" s="2">
        <v>43465</v>
      </c>
      <c r="G1082" s="2"/>
      <c r="H1082" s="1742" t="s">
        <v>17</v>
      </c>
      <c r="I1082" s="1743" t="s">
        <v>18</v>
      </c>
      <c r="J1082" s="3" t="s">
        <v>19</v>
      </c>
      <c r="K1082" s="3"/>
    </row>
    <row r="1083" spans="1:11" ht="100.8" x14ac:dyDescent="0.3">
      <c r="A1083" s="3" t="s">
        <v>2370</v>
      </c>
      <c r="B1083" s="3" t="str">
        <f>"035946173"</f>
        <v>035946173</v>
      </c>
      <c r="C1083" s="3" t="s">
        <v>2371</v>
      </c>
      <c r="D1083" s="3" t="s">
        <v>2374</v>
      </c>
      <c r="E1083" s="3" t="s">
        <v>1913</v>
      </c>
      <c r="F1083" s="2">
        <v>43465</v>
      </c>
      <c r="G1083" s="2"/>
      <c r="H1083" s="1744" t="s">
        <v>17</v>
      </c>
      <c r="I1083" s="1745" t="s">
        <v>18</v>
      </c>
      <c r="J1083" s="3" t="s">
        <v>19</v>
      </c>
      <c r="K1083" s="3"/>
    </row>
    <row r="1084" spans="1:11" ht="57.6" x14ac:dyDescent="0.3">
      <c r="A1084" s="3" t="s">
        <v>2375</v>
      </c>
      <c r="B1084" s="3" t="str">
        <f>"025707391"</f>
        <v>025707391</v>
      </c>
      <c r="C1084" s="3" t="s">
        <v>2376</v>
      </c>
      <c r="D1084" s="3" t="s">
        <v>2377</v>
      </c>
      <c r="E1084" s="3" t="s">
        <v>2378</v>
      </c>
      <c r="F1084" s="2">
        <v>40437</v>
      </c>
      <c r="G1084" s="2"/>
      <c r="H1084" s="1746" t="s">
        <v>37</v>
      </c>
      <c r="I1084" s="1747" t="s">
        <v>32</v>
      </c>
      <c r="J1084" s="3" t="s">
        <v>19</v>
      </c>
      <c r="K1084" s="3"/>
    </row>
    <row r="1085" spans="1:11" ht="43.2" x14ac:dyDescent="0.3">
      <c r="A1085" s="3" t="s">
        <v>2375</v>
      </c>
      <c r="B1085" s="3" t="str">
        <f>"025707353"</f>
        <v>025707353</v>
      </c>
      <c r="C1085" s="3" t="s">
        <v>2379</v>
      </c>
      <c r="D1085" s="3" t="s">
        <v>2380</v>
      </c>
      <c r="E1085" s="3" t="s">
        <v>2378</v>
      </c>
      <c r="F1085" s="2">
        <v>40452</v>
      </c>
      <c r="G1085" s="2"/>
      <c r="H1085" s="1748" t="s">
        <v>37</v>
      </c>
      <c r="I1085" s="1749" t="s">
        <v>32</v>
      </c>
      <c r="J1085" s="3" t="s">
        <v>19</v>
      </c>
      <c r="K1085" s="3"/>
    </row>
    <row r="1086" spans="1:11" ht="43.2" x14ac:dyDescent="0.3">
      <c r="A1086" s="3" t="s">
        <v>2381</v>
      </c>
      <c r="B1086" s="3" t="str">
        <f>"032044012"</f>
        <v>032044012</v>
      </c>
      <c r="C1086" s="3" t="s">
        <v>1309</v>
      </c>
      <c r="D1086" s="3" t="s">
        <v>2382</v>
      </c>
      <c r="E1086" s="3" t="s">
        <v>2304</v>
      </c>
      <c r="F1086" s="2">
        <v>43595</v>
      </c>
      <c r="G1086" s="2"/>
      <c r="H1086" s="1750" t="s">
        <v>17</v>
      </c>
      <c r="I1086" s="1751" t="s">
        <v>18</v>
      </c>
      <c r="J1086" s="3" t="s">
        <v>19</v>
      </c>
      <c r="K1086" s="3"/>
    </row>
    <row r="1087" spans="1:11" ht="43.2" x14ac:dyDescent="0.3">
      <c r="A1087" s="3" t="s">
        <v>2383</v>
      </c>
      <c r="B1087" s="3" t="str">
        <f>"032072074"</f>
        <v>032072074</v>
      </c>
      <c r="C1087" s="3" t="s">
        <v>1309</v>
      </c>
      <c r="D1087" s="3" t="s">
        <v>2384</v>
      </c>
      <c r="E1087" s="3" t="s">
        <v>2385</v>
      </c>
      <c r="F1087" s="2">
        <v>43862</v>
      </c>
      <c r="G1087" s="2"/>
      <c r="H1087" s="1752" t="s">
        <v>17</v>
      </c>
      <c r="I1087" s="1753" t="s">
        <v>32</v>
      </c>
      <c r="J1087" s="3" t="s">
        <v>19</v>
      </c>
      <c r="K1087" s="3"/>
    </row>
    <row r="1088" spans="1:11" ht="43.2" x14ac:dyDescent="0.3">
      <c r="A1088" s="3" t="s">
        <v>2386</v>
      </c>
      <c r="B1088" s="3" t="str">
        <f>"029544018"</f>
        <v>029544018</v>
      </c>
      <c r="C1088" s="3" t="s">
        <v>1309</v>
      </c>
      <c r="D1088" s="3" t="s">
        <v>2387</v>
      </c>
      <c r="E1088" s="3" t="s">
        <v>2304</v>
      </c>
      <c r="F1088" s="2">
        <v>43646</v>
      </c>
      <c r="G1088" s="2"/>
      <c r="H1088" s="1754" t="s">
        <v>17</v>
      </c>
      <c r="I1088" s="1755" t="s">
        <v>18</v>
      </c>
      <c r="J1088" s="3" t="s">
        <v>19</v>
      </c>
      <c r="K1088" s="3"/>
    </row>
    <row r="1089" spans="1:11" ht="43.2" x14ac:dyDescent="0.3">
      <c r="A1089" s="3" t="s">
        <v>2388</v>
      </c>
      <c r="B1089" s="3" t="str">
        <f>"024994081"</f>
        <v>024994081</v>
      </c>
      <c r="C1089" s="3" t="s">
        <v>1874</v>
      </c>
      <c r="D1089" s="3" t="s">
        <v>2389</v>
      </c>
      <c r="E1089" s="3" t="s">
        <v>1238</v>
      </c>
      <c r="F1089" s="2">
        <v>43955</v>
      </c>
      <c r="G1089" s="2">
        <v>44377</v>
      </c>
      <c r="H1089" s="1756" t="s">
        <v>17</v>
      </c>
      <c r="I1089" s="3" t="s">
        <v>41</v>
      </c>
      <c r="J1089" s="3" t="s">
        <v>19</v>
      </c>
      <c r="K1089" s="3"/>
    </row>
    <row r="1090" spans="1:11" ht="43.2" x14ac:dyDescent="0.3">
      <c r="A1090" s="3" t="s">
        <v>2388</v>
      </c>
      <c r="B1090" s="3" t="str">
        <f>"024994105"</f>
        <v>024994105</v>
      </c>
      <c r="C1090" s="3" t="s">
        <v>1874</v>
      </c>
      <c r="D1090" s="3" t="s">
        <v>2390</v>
      </c>
      <c r="E1090" s="3" t="s">
        <v>1238</v>
      </c>
      <c r="F1090" s="2">
        <v>43955</v>
      </c>
      <c r="G1090" s="2">
        <v>44377</v>
      </c>
      <c r="H1090" s="1757" t="s">
        <v>17</v>
      </c>
      <c r="I1090" s="3" t="s">
        <v>41</v>
      </c>
      <c r="J1090" s="3" t="s">
        <v>19</v>
      </c>
      <c r="K1090" s="3"/>
    </row>
    <row r="1091" spans="1:11" ht="43.2" x14ac:dyDescent="0.3">
      <c r="A1091" s="3" t="s">
        <v>2388</v>
      </c>
      <c r="B1091" s="3" t="str">
        <f>"024994117"</f>
        <v>024994117</v>
      </c>
      <c r="C1091" s="3" t="s">
        <v>1874</v>
      </c>
      <c r="D1091" s="3" t="s">
        <v>2391</v>
      </c>
      <c r="E1091" s="3" t="s">
        <v>1238</v>
      </c>
      <c r="F1091" s="2">
        <v>43955</v>
      </c>
      <c r="G1091" s="2">
        <v>44377</v>
      </c>
      <c r="H1091" s="1758" t="s">
        <v>17</v>
      </c>
      <c r="I1091" s="3" t="s">
        <v>41</v>
      </c>
      <c r="J1091" s="3" t="s">
        <v>19</v>
      </c>
      <c r="K1091" s="3"/>
    </row>
    <row r="1092" spans="1:11" ht="43.2" x14ac:dyDescent="0.3">
      <c r="A1092" s="3" t="s">
        <v>2388</v>
      </c>
      <c r="B1092" s="3" t="str">
        <f>"024994168"</f>
        <v>024994168</v>
      </c>
      <c r="C1092" s="3" t="s">
        <v>1874</v>
      </c>
      <c r="D1092" s="3" t="s">
        <v>2392</v>
      </c>
      <c r="E1092" s="3" t="s">
        <v>1238</v>
      </c>
      <c r="F1092" s="2">
        <v>43955</v>
      </c>
      <c r="G1092" s="2">
        <v>44377</v>
      </c>
      <c r="H1092" s="1759" t="s">
        <v>17</v>
      </c>
      <c r="I1092" s="3" t="s">
        <v>41</v>
      </c>
      <c r="J1092" s="3" t="s">
        <v>19</v>
      </c>
      <c r="K1092" s="3"/>
    </row>
    <row r="1093" spans="1:11" ht="43.2" x14ac:dyDescent="0.3">
      <c r="A1093" s="3" t="s">
        <v>2388</v>
      </c>
      <c r="B1093" s="3" t="str">
        <f>"024994170"</f>
        <v>024994170</v>
      </c>
      <c r="C1093" s="3" t="s">
        <v>1874</v>
      </c>
      <c r="D1093" s="3" t="s">
        <v>2393</v>
      </c>
      <c r="E1093" s="3" t="s">
        <v>1238</v>
      </c>
      <c r="F1093" s="2">
        <v>43773</v>
      </c>
      <c r="G1093" s="2">
        <v>44377</v>
      </c>
      <c r="H1093" s="1760" t="s">
        <v>17</v>
      </c>
      <c r="I1093" s="3" t="s">
        <v>41</v>
      </c>
      <c r="J1093" s="3" t="s">
        <v>19</v>
      </c>
      <c r="K1093" s="3"/>
    </row>
    <row r="1094" spans="1:11" ht="43.2" x14ac:dyDescent="0.3">
      <c r="A1094" s="3" t="s">
        <v>2388</v>
      </c>
      <c r="B1094" s="3" t="str">
        <f>"024994220"</f>
        <v>024994220</v>
      </c>
      <c r="C1094" s="3" t="s">
        <v>1874</v>
      </c>
      <c r="D1094" s="3" t="s">
        <v>2394</v>
      </c>
      <c r="E1094" s="3" t="s">
        <v>1238</v>
      </c>
      <c r="F1094" s="2">
        <v>43586</v>
      </c>
      <c r="G1094" s="2">
        <v>44377</v>
      </c>
      <c r="H1094" s="1761" t="s">
        <v>37</v>
      </c>
      <c r="I1094" s="3" t="s">
        <v>41</v>
      </c>
      <c r="J1094" s="3" t="s">
        <v>19</v>
      </c>
      <c r="K1094" s="3"/>
    </row>
    <row r="1095" spans="1:11" ht="86.4" x14ac:dyDescent="0.3">
      <c r="A1095" s="3" t="s">
        <v>2395</v>
      </c>
      <c r="B1095" s="3" t="str">
        <f>"038110019"</f>
        <v>038110019</v>
      </c>
      <c r="C1095" s="3" t="s">
        <v>2396</v>
      </c>
      <c r="D1095" s="3" t="s">
        <v>2397</v>
      </c>
      <c r="E1095" s="3" t="s">
        <v>119</v>
      </c>
      <c r="F1095" s="2">
        <v>42794</v>
      </c>
      <c r="G1095" s="2"/>
      <c r="H1095" s="1762" t="s">
        <v>17</v>
      </c>
      <c r="I1095" s="3" t="s">
        <v>41</v>
      </c>
      <c r="J1095" s="3" t="s">
        <v>156</v>
      </c>
      <c r="K1095" s="3"/>
    </row>
    <row r="1096" spans="1:11" ht="43.2" x14ac:dyDescent="0.3">
      <c r="A1096" s="3" t="s">
        <v>2398</v>
      </c>
      <c r="B1096" s="3" t="str">
        <f>"038360018"</f>
        <v>038360018</v>
      </c>
      <c r="C1096" s="3" t="s">
        <v>1144</v>
      </c>
      <c r="D1096" s="3" t="s">
        <v>1139</v>
      </c>
      <c r="E1096" s="3" t="s">
        <v>1238</v>
      </c>
      <c r="F1096" s="2">
        <v>43983</v>
      </c>
      <c r="G1096" s="2"/>
      <c r="H1096" s="1763" t="s">
        <v>17</v>
      </c>
      <c r="I1096" s="1764" t="s">
        <v>18</v>
      </c>
      <c r="J1096" s="3" t="s">
        <v>19</v>
      </c>
      <c r="K1096" s="3"/>
    </row>
    <row r="1097" spans="1:11" ht="43.2" x14ac:dyDescent="0.3">
      <c r="A1097" s="3" t="s">
        <v>2398</v>
      </c>
      <c r="B1097" s="3" t="str">
        <f>"038360032"</f>
        <v>038360032</v>
      </c>
      <c r="C1097" s="3" t="s">
        <v>1144</v>
      </c>
      <c r="D1097" s="3" t="s">
        <v>2399</v>
      </c>
      <c r="E1097" s="3" t="s">
        <v>1238</v>
      </c>
      <c r="F1097" s="2">
        <v>43983</v>
      </c>
      <c r="G1097" s="2"/>
      <c r="H1097" s="1765" t="s">
        <v>17</v>
      </c>
      <c r="I1097" s="1766" t="s">
        <v>18</v>
      </c>
      <c r="J1097" s="3" t="s">
        <v>19</v>
      </c>
      <c r="K1097" s="3"/>
    </row>
    <row r="1098" spans="1:11" ht="43.2" x14ac:dyDescent="0.3">
      <c r="A1098" s="3" t="s">
        <v>2400</v>
      </c>
      <c r="B1098" s="3" t="str">
        <f>"042995011"</f>
        <v>042995011</v>
      </c>
      <c r="C1098" s="3" t="s">
        <v>2063</v>
      </c>
      <c r="D1098" s="3" t="s">
        <v>2401</v>
      </c>
      <c r="E1098" s="3" t="s">
        <v>1330</v>
      </c>
      <c r="F1098" s="2">
        <v>44377</v>
      </c>
      <c r="G1098" s="2"/>
      <c r="H1098" s="1767" t="s">
        <v>17</v>
      </c>
      <c r="I1098" s="1768" t="s">
        <v>18</v>
      </c>
      <c r="J1098" s="3" t="s">
        <v>19</v>
      </c>
      <c r="K1098" s="3"/>
    </row>
    <row r="1099" spans="1:11" ht="43.2" x14ac:dyDescent="0.3">
      <c r="A1099" s="3" t="s">
        <v>2402</v>
      </c>
      <c r="B1099" s="3" t="str">
        <f>"025636046"</f>
        <v>025636046</v>
      </c>
      <c r="C1099" s="3" t="s">
        <v>2063</v>
      </c>
      <c r="D1099" s="3" t="s">
        <v>2403</v>
      </c>
      <c r="E1099" s="3" t="s">
        <v>107</v>
      </c>
      <c r="F1099" s="2">
        <v>43647</v>
      </c>
      <c r="G1099" s="2"/>
      <c r="H1099" s="1769" t="s">
        <v>17</v>
      </c>
      <c r="I1099" s="1770" t="s">
        <v>18</v>
      </c>
      <c r="J1099" s="3" t="s">
        <v>19</v>
      </c>
      <c r="K1099" s="3"/>
    </row>
    <row r="1100" spans="1:11" ht="43.2" x14ac:dyDescent="0.3">
      <c r="A1100" s="3" t="s">
        <v>2404</v>
      </c>
      <c r="B1100" s="3" t="str">
        <f>"042324020"</f>
        <v>042324020</v>
      </c>
      <c r="C1100" s="3" t="s">
        <v>2063</v>
      </c>
      <c r="D1100" s="3" t="s">
        <v>2405</v>
      </c>
      <c r="E1100" s="3" t="s">
        <v>99</v>
      </c>
      <c r="F1100" s="2">
        <v>43745</v>
      </c>
      <c r="G1100" s="2">
        <v>44347</v>
      </c>
      <c r="H1100" s="1771" t="s">
        <v>17</v>
      </c>
      <c r="I1100" s="3" t="s">
        <v>41</v>
      </c>
      <c r="J1100" s="3" t="s">
        <v>19</v>
      </c>
      <c r="K1100" s="3"/>
    </row>
    <row r="1101" spans="1:11" ht="43.2" x14ac:dyDescent="0.3">
      <c r="A1101" s="3" t="s">
        <v>2404</v>
      </c>
      <c r="B1101" s="3" t="str">
        <f>"042324032"</f>
        <v>042324032</v>
      </c>
      <c r="C1101" s="3" t="s">
        <v>2063</v>
      </c>
      <c r="D1101" s="3" t="s">
        <v>2406</v>
      </c>
      <c r="E1101" s="3" t="s">
        <v>99</v>
      </c>
      <c r="F1101" s="2">
        <v>43745</v>
      </c>
      <c r="G1101" s="2">
        <v>44347</v>
      </c>
      <c r="H1101" s="1772" t="s">
        <v>17</v>
      </c>
      <c r="I1101" s="3" t="s">
        <v>41</v>
      </c>
      <c r="J1101" s="3" t="s">
        <v>19</v>
      </c>
      <c r="K1101" s="3"/>
    </row>
    <row r="1102" spans="1:11" ht="43.2" x14ac:dyDescent="0.3">
      <c r="A1102" s="3" t="s">
        <v>2404</v>
      </c>
      <c r="B1102" s="3" t="str">
        <f>"042324057"</f>
        <v>042324057</v>
      </c>
      <c r="C1102" s="3" t="s">
        <v>2063</v>
      </c>
      <c r="D1102" s="3" t="s">
        <v>2407</v>
      </c>
      <c r="E1102" s="3" t="s">
        <v>99</v>
      </c>
      <c r="F1102" s="2">
        <v>43731</v>
      </c>
      <c r="G1102" s="2">
        <v>44347</v>
      </c>
      <c r="H1102" s="1773" t="s">
        <v>17</v>
      </c>
      <c r="I1102" s="3" t="s">
        <v>41</v>
      </c>
      <c r="J1102" s="3" t="s">
        <v>19</v>
      </c>
      <c r="K1102" s="3"/>
    </row>
    <row r="1103" spans="1:11" ht="43.2" x14ac:dyDescent="0.3">
      <c r="A1103" s="3" t="s">
        <v>2408</v>
      </c>
      <c r="B1103" s="3" t="str">
        <f>"042853010"</f>
        <v>042853010</v>
      </c>
      <c r="C1103" s="3" t="s">
        <v>2409</v>
      </c>
      <c r="D1103" s="3" t="s">
        <v>2410</v>
      </c>
      <c r="E1103" s="3" t="s">
        <v>2411</v>
      </c>
      <c r="F1103" s="2">
        <v>43363</v>
      </c>
      <c r="G1103" s="2"/>
      <c r="H1103" s="1774" t="s">
        <v>17</v>
      </c>
      <c r="I1103" s="1775" t="s">
        <v>18</v>
      </c>
      <c r="J1103" s="3" t="s">
        <v>19</v>
      </c>
      <c r="K1103" s="3"/>
    </row>
    <row r="1104" spans="1:11" ht="57.6" x14ac:dyDescent="0.3">
      <c r="A1104" s="3" t="s">
        <v>2412</v>
      </c>
      <c r="B1104" s="3" t="str">
        <f>"040308049"</f>
        <v>040308049</v>
      </c>
      <c r="C1104" s="3" t="s">
        <v>2413</v>
      </c>
      <c r="D1104" s="3" t="s">
        <v>2414</v>
      </c>
      <c r="E1104" s="3" t="s">
        <v>107</v>
      </c>
      <c r="F1104" s="2">
        <v>42991</v>
      </c>
      <c r="G1104" s="2"/>
      <c r="H1104" s="1776" t="s">
        <v>17</v>
      </c>
      <c r="I1104" s="1777" t="s">
        <v>32</v>
      </c>
      <c r="J1104" s="3" t="s">
        <v>156</v>
      </c>
      <c r="K1104" s="3"/>
    </row>
    <row r="1105" spans="1:11" ht="43.2" x14ac:dyDescent="0.3">
      <c r="A1105" s="3" t="s">
        <v>2415</v>
      </c>
      <c r="B1105" s="3" t="str">
        <f>"024066159"</f>
        <v>024066159</v>
      </c>
      <c r="C1105" s="3" t="s">
        <v>1613</v>
      </c>
      <c r="D1105" s="3" t="s">
        <v>2416</v>
      </c>
      <c r="E1105" s="3" t="s">
        <v>750</v>
      </c>
      <c r="F1105" s="2">
        <v>42859</v>
      </c>
      <c r="G1105" s="2"/>
      <c r="H1105" s="1778" t="s">
        <v>17</v>
      </c>
      <c r="I1105" s="3" t="s">
        <v>41</v>
      </c>
      <c r="J1105" s="3" t="s">
        <v>19</v>
      </c>
      <c r="K1105" s="3"/>
    </row>
    <row r="1106" spans="1:11" ht="43.2" x14ac:dyDescent="0.3">
      <c r="A1106" s="3" t="s">
        <v>2415</v>
      </c>
      <c r="B1106" s="3" t="str">
        <f>"024066134"</f>
        <v>024066134</v>
      </c>
      <c r="C1106" s="3" t="s">
        <v>1613</v>
      </c>
      <c r="D1106" s="3" t="s">
        <v>2417</v>
      </c>
      <c r="E1106" s="3" t="s">
        <v>750</v>
      </c>
      <c r="F1106" s="2">
        <v>42859</v>
      </c>
      <c r="G1106" s="2"/>
      <c r="H1106" s="1779" t="s">
        <v>17</v>
      </c>
      <c r="I1106" s="3" t="s">
        <v>41</v>
      </c>
      <c r="J1106" s="3" t="s">
        <v>19</v>
      </c>
      <c r="K1106" s="3"/>
    </row>
    <row r="1107" spans="1:11" ht="43.2" x14ac:dyDescent="0.3">
      <c r="A1107" s="3" t="s">
        <v>2418</v>
      </c>
      <c r="B1107" s="3" t="str">
        <f>"025266141"</f>
        <v>025266141</v>
      </c>
      <c r="C1107" s="3" t="s">
        <v>1342</v>
      </c>
      <c r="D1107" s="3" t="s">
        <v>2419</v>
      </c>
      <c r="E1107" s="3" t="s">
        <v>1666</v>
      </c>
      <c r="F1107" s="2">
        <v>43677</v>
      </c>
      <c r="G1107" s="2">
        <v>44561</v>
      </c>
      <c r="H1107" s="1780" t="s">
        <v>17</v>
      </c>
      <c r="I1107" s="3" t="s">
        <v>152</v>
      </c>
      <c r="J1107" s="3" t="s">
        <v>19</v>
      </c>
      <c r="K1107" s="3"/>
    </row>
    <row r="1108" spans="1:11" ht="43.2" x14ac:dyDescent="0.3">
      <c r="A1108" s="3" t="s">
        <v>2418</v>
      </c>
      <c r="B1108" s="3" t="str">
        <f>"025266154"</f>
        <v>025266154</v>
      </c>
      <c r="C1108" s="3" t="s">
        <v>1342</v>
      </c>
      <c r="D1108" s="3" t="s">
        <v>2420</v>
      </c>
      <c r="E1108" s="3" t="s">
        <v>1666</v>
      </c>
      <c r="F1108" s="2">
        <v>43677</v>
      </c>
      <c r="G1108" s="2">
        <v>44561</v>
      </c>
      <c r="H1108" s="1781" t="s">
        <v>17</v>
      </c>
      <c r="I1108" s="3" t="s">
        <v>152</v>
      </c>
      <c r="J1108" s="3" t="s">
        <v>19</v>
      </c>
      <c r="K1108" s="3"/>
    </row>
    <row r="1109" spans="1:11" ht="57.6" x14ac:dyDescent="0.3">
      <c r="A1109" s="3" t="s">
        <v>2418</v>
      </c>
      <c r="B1109" s="3" t="str">
        <f>"025266166"</f>
        <v>025266166</v>
      </c>
      <c r="C1109" s="3" t="s">
        <v>1342</v>
      </c>
      <c r="D1109" s="3" t="s">
        <v>2421</v>
      </c>
      <c r="E1109" s="3" t="s">
        <v>1666</v>
      </c>
      <c r="F1109" s="2">
        <v>43677</v>
      </c>
      <c r="G1109" s="2">
        <v>44561</v>
      </c>
      <c r="H1109" s="1782" t="s">
        <v>17</v>
      </c>
      <c r="I1109" s="3" t="s">
        <v>152</v>
      </c>
      <c r="J1109" s="3" t="s">
        <v>19</v>
      </c>
      <c r="K1109" s="3"/>
    </row>
    <row r="1110" spans="1:11" ht="57.6" x14ac:dyDescent="0.3">
      <c r="A1110" s="3" t="s">
        <v>2418</v>
      </c>
      <c r="B1110" s="3" t="str">
        <f>"025266178"</f>
        <v>025266178</v>
      </c>
      <c r="C1110" s="3" t="s">
        <v>1342</v>
      </c>
      <c r="D1110" s="3" t="s">
        <v>2422</v>
      </c>
      <c r="E1110" s="3" t="s">
        <v>1666</v>
      </c>
      <c r="F1110" s="2">
        <v>43677</v>
      </c>
      <c r="G1110" s="2">
        <v>44561</v>
      </c>
      <c r="H1110" s="1783" t="s">
        <v>17</v>
      </c>
      <c r="I1110" s="3" t="s">
        <v>152</v>
      </c>
      <c r="J1110" s="3" t="s">
        <v>19</v>
      </c>
      <c r="K1110" s="3"/>
    </row>
    <row r="1111" spans="1:11" ht="57.6" x14ac:dyDescent="0.3">
      <c r="A1111" s="3" t="s">
        <v>2423</v>
      </c>
      <c r="B1111" s="3" t="str">
        <f>"039472016"</f>
        <v>039472016</v>
      </c>
      <c r="C1111" s="3" t="s">
        <v>2424</v>
      </c>
      <c r="D1111" s="3" t="s">
        <v>2425</v>
      </c>
      <c r="E1111" s="3" t="s">
        <v>1658</v>
      </c>
      <c r="F1111" s="2">
        <v>43404</v>
      </c>
      <c r="G1111" s="2"/>
      <c r="H1111" s="1784" t="s">
        <v>17</v>
      </c>
      <c r="I1111" s="1785" t="s">
        <v>18</v>
      </c>
      <c r="J1111" s="3" t="s">
        <v>19</v>
      </c>
      <c r="K1111" s="3"/>
    </row>
    <row r="1112" spans="1:11" ht="43.2" x14ac:dyDescent="0.3">
      <c r="A1112" s="3" t="s">
        <v>2426</v>
      </c>
      <c r="B1112" s="3" t="str">
        <f>"027181027"</f>
        <v>027181027</v>
      </c>
      <c r="C1112" s="3" t="s">
        <v>2427</v>
      </c>
      <c r="D1112" s="3" t="s">
        <v>2428</v>
      </c>
      <c r="E1112" s="3" t="s">
        <v>750</v>
      </c>
      <c r="F1112" s="2">
        <v>42643</v>
      </c>
      <c r="G1112" s="2"/>
      <c r="H1112" s="1786" t="s">
        <v>17</v>
      </c>
      <c r="I1112" s="1787" t="s">
        <v>32</v>
      </c>
      <c r="J1112" s="3" t="s">
        <v>19</v>
      </c>
      <c r="K1112" s="3"/>
    </row>
    <row r="1113" spans="1:11" ht="57.6" x14ac:dyDescent="0.3">
      <c r="A1113" s="3" t="s">
        <v>2429</v>
      </c>
      <c r="B1113" s="3" t="str">
        <f>"042867186"</f>
        <v>042867186</v>
      </c>
      <c r="C1113" s="3" t="s">
        <v>2430</v>
      </c>
      <c r="D1113" s="3" t="s">
        <v>2431</v>
      </c>
      <c r="E1113" s="3" t="s">
        <v>16</v>
      </c>
      <c r="F1113" s="2">
        <v>43921</v>
      </c>
      <c r="G1113" s="2">
        <v>44196</v>
      </c>
      <c r="H1113" s="1788" t="s">
        <v>17</v>
      </c>
      <c r="I1113" s="3" t="s">
        <v>41</v>
      </c>
      <c r="J1113" s="3" t="s">
        <v>19</v>
      </c>
      <c r="K1113" s="3"/>
    </row>
    <row r="1114" spans="1:11" ht="43.2" x14ac:dyDescent="0.3">
      <c r="A1114" s="3" t="s">
        <v>2432</v>
      </c>
      <c r="B1114" s="3" t="str">
        <f>"044857062"</f>
        <v>044857062</v>
      </c>
      <c r="C1114" s="3" t="s">
        <v>2433</v>
      </c>
      <c r="D1114" s="3" t="s">
        <v>2434</v>
      </c>
      <c r="E1114" s="3" t="s">
        <v>83</v>
      </c>
      <c r="F1114" s="2">
        <v>44018</v>
      </c>
      <c r="G1114" s="2"/>
      <c r="H1114" s="1789" t="s">
        <v>17</v>
      </c>
      <c r="I1114" s="1790" t="s">
        <v>18</v>
      </c>
      <c r="J1114" s="3" t="s">
        <v>19</v>
      </c>
      <c r="K1114" s="3"/>
    </row>
    <row r="1115" spans="1:11" ht="43.2" x14ac:dyDescent="0.3">
      <c r="A1115" s="3" t="s">
        <v>2435</v>
      </c>
      <c r="B1115" s="3" t="str">
        <f>"044239061"</f>
        <v>044239061</v>
      </c>
      <c r="C1115" s="3"/>
      <c r="D1115" s="3" t="s">
        <v>2436</v>
      </c>
      <c r="E1115" s="3" t="s">
        <v>24</v>
      </c>
      <c r="F1115" s="2">
        <v>43555</v>
      </c>
      <c r="G1115" s="2"/>
      <c r="H1115" s="1791" t="s">
        <v>17</v>
      </c>
      <c r="I1115" s="1792" t="s">
        <v>18</v>
      </c>
      <c r="J1115" s="3" t="s">
        <v>19</v>
      </c>
      <c r="K1115" s="3"/>
    </row>
    <row r="1116" spans="1:11" ht="43.2" x14ac:dyDescent="0.3">
      <c r="A1116" s="3" t="s">
        <v>2437</v>
      </c>
      <c r="B1116" s="3" t="str">
        <f>"044594048"</f>
        <v>044594048</v>
      </c>
      <c r="C1116" s="3" t="s">
        <v>2433</v>
      </c>
      <c r="D1116" s="3" t="s">
        <v>2438</v>
      </c>
      <c r="E1116" s="3" t="s">
        <v>2439</v>
      </c>
      <c r="F1116" s="2">
        <v>43738</v>
      </c>
      <c r="G1116" s="2"/>
      <c r="H1116" s="1793" t="s">
        <v>17</v>
      </c>
      <c r="I1116" s="1794" t="s">
        <v>32</v>
      </c>
      <c r="J1116" s="3" t="s">
        <v>19</v>
      </c>
      <c r="K1116" s="3"/>
    </row>
    <row r="1117" spans="1:11" ht="43.2" x14ac:dyDescent="0.3">
      <c r="A1117" s="3" t="s">
        <v>2440</v>
      </c>
      <c r="B1117" s="3" t="str">
        <f>"044445031"</f>
        <v>044445031</v>
      </c>
      <c r="C1117" s="3" t="s">
        <v>2433</v>
      </c>
      <c r="D1117" s="3" t="s">
        <v>2441</v>
      </c>
      <c r="E1117" s="3" t="s">
        <v>56</v>
      </c>
      <c r="F1117" s="2">
        <v>44286</v>
      </c>
      <c r="G1117" s="2"/>
      <c r="H1117" s="1795" t="s">
        <v>17</v>
      </c>
      <c r="I1117" s="1796" t="s">
        <v>18</v>
      </c>
      <c r="J1117" s="3" t="s">
        <v>19</v>
      </c>
      <c r="K1117" s="3"/>
    </row>
    <row r="1118" spans="1:11" ht="43.2" x14ac:dyDescent="0.3">
      <c r="A1118" s="3" t="s">
        <v>2442</v>
      </c>
      <c r="B1118" s="3" t="str">
        <f>"044713016"</f>
        <v>044713016</v>
      </c>
      <c r="C1118" s="3" t="s">
        <v>2433</v>
      </c>
      <c r="D1118" s="3" t="s">
        <v>2443</v>
      </c>
      <c r="E1118" s="3" t="s">
        <v>56</v>
      </c>
      <c r="F1118" s="2">
        <v>43304</v>
      </c>
      <c r="G1118" s="2"/>
      <c r="H1118" s="1797" t="s">
        <v>17</v>
      </c>
      <c r="I1118" s="1798" t="s">
        <v>18</v>
      </c>
      <c r="J1118" s="3" t="s">
        <v>19</v>
      </c>
      <c r="K1118" s="3"/>
    </row>
    <row r="1119" spans="1:11" ht="43.2" x14ac:dyDescent="0.3">
      <c r="A1119" s="3" t="s">
        <v>2444</v>
      </c>
      <c r="B1119" s="3" t="str">
        <f>"043566025"</f>
        <v>043566025</v>
      </c>
      <c r="C1119" s="3" t="s">
        <v>2430</v>
      </c>
      <c r="D1119" s="3" t="s">
        <v>2445</v>
      </c>
      <c r="E1119" s="3" t="s">
        <v>651</v>
      </c>
      <c r="F1119" s="2">
        <v>44026</v>
      </c>
      <c r="G1119" s="2"/>
      <c r="H1119" s="1799" t="s">
        <v>17</v>
      </c>
      <c r="I1119" s="3" t="s">
        <v>41</v>
      </c>
      <c r="J1119" s="3" t="s">
        <v>19</v>
      </c>
      <c r="K1119" s="3"/>
    </row>
    <row r="1120" spans="1:11" ht="43.2" x14ac:dyDescent="0.3">
      <c r="A1120" s="3" t="s">
        <v>2444</v>
      </c>
      <c r="B1120" s="3" t="str">
        <f>"043566037"</f>
        <v>043566037</v>
      </c>
      <c r="C1120" s="3" t="s">
        <v>2430</v>
      </c>
      <c r="D1120" s="3" t="s">
        <v>2446</v>
      </c>
      <c r="E1120" s="3" t="s">
        <v>651</v>
      </c>
      <c r="F1120" s="2">
        <v>43549</v>
      </c>
      <c r="G1120" s="2">
        <v>43837</v>
      </c>
      <c r="H1120" s="1800" t="s">
        <v>17</v>
      </c>
      <c r="I1120" s="3" t="s">
        <v>41</v>
      </c>
      <c r="J1120" s="3" t="s">
        <v>19</v>
      </c>
      <c r="K1120" s="3"/>
    </row>
    <row r="1121" spans="1:11" ht="43.2" x14ac:dyDescent="0.3">
      <c r="A1121" s="3" t="s">
        <v>2447</v>
      </c>
      <c r="B1121" s="3" t="str">
        <f>"040005011"</f>
        <v>040005011</v>
      </c>
      <c r="C1121" s="3" t="s">
        <v>2448</v>
      </c>
      <c r="D1121" s="3" t="s">
        <v>2449</v>
      </c>
      <c r="E1121" s="3" t="s">
        <v>83</v>
      </c>
      <c r="F1121" s="2">
        <v>43334</v>
      </c>
      <c r="G1121" s="2"/>
      <c r="H1121" s="1801" t="s">
        <v>17</v>
      </c>
      <c r="I1121" s="1802" t="s">
        <v>18</v>
      </c>
      <c r="J1121" s="3" t="s">
        <v>19</v>
      </c>
      <c r="K1121" s="3"/>
    </row>
    <row r="1122" spans="1:11" ht="43.2" x14ac:dyDescent="0.3">
      <c r="A1122" s="3" t="s">
        <v>2450</v>
      </c>
      <c r="B1122" s="3" t="str">
        <f>"026580023"</f>
        <v>026580023</v>
      </c>
      <c r="C1122" s="3" t="s">
        <v>2451</v>
      </c>
      <c r="D1122" s="3" t="s">
        <v>133</v>
      </c>
      <c r="E1122" s="3" t="s">
        <v>2452</v>
      </c>
      <c r="F1122" s="2">
        <v>43100</v>
      </c>
      <c r="G1122" s="2"/>
      <c r="H1122" s="1803" t="s">
        <v>17</v>
      </c>
      <c r="I1122" s="1804" t="s">
        <v>18</v>
      </c>
      <c r="J1122" s="3" t="s">
        <v>19</v>
      </c>
      <c r="K1122" s="3"/>
    </row>
    <row r="1123" spans="1:11" ht="43.2" x14ac:dyDescent="0.3">
      <c r="A1123" s="3" t="s">
        <v>2450</v>
      </c>
      <c r="B1123" s="3" t="str">
        <f>"026580035"</f>
        <v>026580035</v>
      </c>
      <c r="C1123" s="3" t="s">
        <v>2451</v>
      </c>
      <c r="D1123" s="3" t="s">
        <v>2453</v>
      </c>
      <c r="E1123" s="3" t="s">
        <v>2452</v>
      </c>
      <c r="F1123" s="2">
        <v>43100</v>
      </c>
      <c r="G1123" s="2"/>
      <c r="H1123" s="1805" t="s">
        <v>17</v>
      </c>
      <c r="I1123" s="1806" t="s">
        <v>18</v>
      </c>
      <c r="J1123" s="3" t="s">
        <v>19</v>
      </c>
      <c r="K1123" s="3"/>
    </row>
    <row r="1124" spans="1:11" ht="43.2" x14ac:dyDescent="0.3">
      <c r="A1124" s="3" t="s">
        <v>2454</v>
      </c>
      <c r="B1124" s="3" t="str">
        <f>"026017069"</f>
        <v>026017069</v>
      </c>
      <c r="C1124" s="3" t="s">
        <v>2455</v>
      </c>
      <c r="D1124" s="3" t="s">
        <v>2456</v>
      </c>
      <c r="E1124" s="3" t="s">
        <v>2457</v>
      </c>
      <c r="F1124" s="2">
        <v>44180</v>
      </c>
      <c r="G1124" s="2"/>
      <c r="H1124" s="1807" t="s">
        <v>37</v>
      </c>
      <c r="I1124" s="1808" t="s">
        <v>18</v>
      </c>
      <c r="J1124" s="3" t="s">
        <v>19</v>
      </c>
      <c r="K1124" s="3"/>
    </row>
    <row r="1125" spans="1:11" ht="43.2" x14ac:dyDescent="0.3">
      <c r="A1125" s="3" t="s">
        <v>2458</v>
      </c>
      <c r="B1125" s="3" t="str">
        <f>"018368035"</f>
        <v>018368035</v>
      </c>
      <c r="C1125" s="3" t="s">
        <v>2459</v>
      </c>
      <c r="D1125" s="3" t="s">
        <v>2460</v>
      </c>
      <c r="E1125" s="3" t="s">
        <v>2461</v>
      </c>
      <c r="F1125" s="2">
        <v>43957</v>
      </c>
      <c r="G1125" s="2">
        <v>44196</v>
      </c>
      <c r="H1125" s="1809" t="s">
        <v>37</v>
      </c>
      <c r="I1125" s="1810" t="s">
        <v>32</v>
      </c>
      <c r="J1125" s="3" t="s">
        <v>19</v>
      </c>
      <c r="K1125" s="3"/>
    </row>
    <row r="1126" spans="1:11" ht="57.6" x14ac:dyDescent="0.3">
      <c r="A1126" s="3" t="s">
        <v>2462</v>
      </c>
      <c r="B1126" s="3" t="str">
        <f>"039463017"</f>
        <v>039463017</v>
      </c>
      <c r="C1126" s="3" t="s">
        <v>2463</v>
      </c>
      <c r="D1126" s="3" t="s">
        <v>2464</v>
      </c>
      <c r="E1126" s="3" t="s">
        <v>56</v>
      </c>
      <c r="F1126" s="2">
        <v>44112</v>
      </c>
      <c r="G1126" s="2">
        <v>44165</v>
      </c>
      <c r="H1126" s="1811" t="s">
        <v>17</v>
      </c>
      <c r="I1126" s="3" t="s">
        <v>41</v>
      </c>
      <c r="J1126" s="3" t="s">
        <v>19</v>
      </c>
      <c r="K1126" s="3"/>
    </row>
    <row r="1127" spans="1:11" ht="57.6" x14ac:dyDescent="0.3">
      <c r="A1127" s="3" t="s">
        <v>2465</v>
      </c>
      <c r="B1127" s="3" t="str">
        <f>"020854028"</f>
        <v>020854028</v>
      </c>
      <c r="C1127" s="3" t="s">
        <v>2466</v>
      </c>
      <c r="D1127" s="3" t="s">
        <v>2467</v>
      </c>
      <c r="E1127" s="3" t="s">
        <v>467</v>
      </c>
      <c r="F1127" s="2">
        <v>44226</v>
      </c>
      <c r="G1127" s="2">
        <v>44347</v>
      </c>
      <c r="H1127" s="1812" t="s">
        <v>37</v>
      </c>
      <c r="I1127" s="3" t="s">
        <v>41</v>
      </c>
      <c r="J1127" s="3" t="s">
        <v>156</v>
      </c>
      <c r="K1127" s="3"/>
    </row>
    <row r="1128" spans="1:11" ht="43.2" x14ac:dyDescent="0.3">
      <c r="A1128" s="3" t="s">
        <v>2468</v>
      </c>
      <c r="B1128" s="3" t="str">
        <f>"036760015"</f>
        <v>036760015</v>
      </c>
      <c r="C1128" s="3" t="s">
        <v>2469</v>
      </c>
      <c r="D1128" s="3" t="s">
        <v>2470</v>
      </c>
      <c r="E1128" s="3" t="s">
        <v>56</v>
      </c>
      <c r="F1128" s="2">
        <v>43153</v>
      </c>
      <c r="G1128" s="2"/>
      <c r="H1128" s="1813" t="s">
        <v>17</v>
      </c>
      <c r="I1128" s="1814" t="s">
        <v>18</v>
      </c>
      <c r="J1128" s="3" t="s">
        <v>19</v>
      </c>
      <c r="K1128" s="3"/>
    </row>
    <row r="1129" spans="1:11" ht="72" x14ac:dyDescent="0.3">
      <c r="A1129" s="3" t="s">
        <v>2471</v>
      </c>
      <c r="B1129" s="3" t="str">
        <f>"029244047"</f>
        <v>029244047</v>
      </c>
      <c r="C1129" s="3" t="s">
        <v>2472</v>
      </c>
      <c r="D1129" s="3" t="s">
        <v>2473</v>
      </c>
      <c r="E1129" s="3" t="s">
        <v>604</v>
      </c>
      <c r="F1129" s="2">
        <v>42992</v>
      </c>
      <c r="G1129" s="2"/>
      <c r="H1129" s="1815" t="s">
        <v>37</v>
      </c>
      <c r="I1129" s="1816" t="s">
        <v>32</v>
      </c>
      <c r="J1129" s="3" t="s">
        <v>156</v>
      </c>
      <c r="K1129" s="3"/>
    </row>
    <row r="1130" spans="1:11" ht="72" x14ac:dyDescent="0.3">
      <c r="A1130" s="3" t="s">
        <v>2471</v>
      </c>
      <c r="B1130" s="3" t="str">
        <f>"029244023"</f>
        <v>029244023</v>
      </c>
      <c r="C1130" s="3" t="s">
        <v>2472</v>
      </c>
      <c r="D1130" s="3" t="s">
        <v>2474</v>
      </c>
      <c r="E1130" s="3" t="s">
        <v>604</v>
      </c>
      <c r="F1130" s="2">
        <v>42992</v>
      </c>
      <c r="G1130" s="2"/>
      <c r="H1130" s="1817" t="s">
        <v>37</v>
      </c>
      <c r="I1130" s="1818" t="s">
        <v>32</v>
      </c>
      <c r="J1130" s="3" t="s">
        <v>240</v>
      </c>
      <c r="K1130" s="3"/>
    </row>
    <row r="1131" spans="1:11" ht="86.4" x14ac:dyDescent="0.3">
      <c r="A1131" s="3" t="s">
        <v>2475</v>
      </c>
      <c r="B1131" s="3" t="str">
        <f>"034960056"</f>
        <v>034960056</v>
      </c>
      <c r="C1131" s="3" t="s">
        <v>2476</v>
      </c>
      <c r="D1131" s="3" t="s">
        <v>2477</v>
      </c>
      <c r="E1131" s="3" t="s">
        <v>1686</v>
      </c>
      <c r="F1131" s="2">
        <v>43891</v>
      </c>
      <c r="G1131" s="2">
        <v>44134</v>
      </c>
      <c r="H1131" s="1819" t="s">
        <v>17</v>
      </c>
      <c r="I1131" s="3" t="s">
        <v>41</v>
      </c>
      <c r="J1131" s="3" t="s">
        <v>240</v>
      </c>
      <c r="K1131" s="3"/>
    </row>
    <row r="1132" spans="1:11" ht="86.4" x14ac:dyDescent="0.3">
      <c r="A1132" s="3" t="s">
        <v>2475</v>
      </c>
      <c r="B1132" s="3" t="str">
        <f>"034960068"</f>
        <v>034960068</v>
      </c>
      <c r="C1132" s="3" t="s">
        <v>2476</v>
      </c>
      <c r="D1132" s="3" t="s">
        <v>2478</v>
      </c>
      <c r="E1132" s="3" t="s">
        <v>1686</v>
      </c>
      <c r="F1132" s="2">
        <v>43891</v>
      </c>
      <c r="G1132" s="2">
        <v>44134</v>
      </c>
      <c r="H1132" s="1820" t="s">
        <v>17</v>
      </c>
      <c r="I1132" s="3" t="s">
        <v>41</v>
      </c>
      <c r="J1132" s="3" t="s">
        <v>240</v>
      </c>
      <c r="K1132" s="3"/>
    </row>
    <row r="1133" spans="1:11" ht="57.6" x14ac:dyDescent="0.3">
      <c r="A1133" s="3" t="s">
        <v>2479</v>
      </c>
      <c r="B1133" s="3" t="str">
        <f>"029238019"</f>
        <v>029238019</v>
      </c>
      <c r="C1133" s="3" t="s">
        <v>2480</v>
      </c>
      <c r="D1133" s="3" t="s">
        <v>2481</v>
      </c>
      <c r="E1133" s="3" t="s">
        <v>2325</v>
      </c>
      <c r="F1133" s="2">
        <v>43466</v>
      </c>
      <c r="G1133" s="2"/>
      <c r="H1133" s="1821" t="s">
        <v>37</v>
      </c>
      <c r="I1133" s="1822" t="s">
        <v>18</v>
      </c>
      <c r="J1133" s="3" t="s">
        <v>19</v>
      </c>
      <c r="K1133" s="3"/>
    </row>
    <row r="1134" spans="1:11" ht="57.6" x14ac:dyDescent="0.3">
      <c r="A1134" s="3" t="s">
        <v>2479</v>
      </c>
      <c r="B1134" s="3" t="str">
        <f>"029238021"</f>
        <v>029238021</v>
      </c>
      <c r="C1134" s="3" t="s">
        <v>2482</v>
      </c>
      <c r="D1134" s="3" t="s">
        <v>2483</v>
      </c>
      <c r="E1134" s="3" t="s">
        <v>2325</v>
      </c>
      <c r="F1134" s="2">
        <v>43983</v>
      </c>
      <c r="G1134" s="2"/>
      <c r="H1134" s="1823" t="s">
        <v>37</v>
      </c>
      <c r="I1134" s="1824" t="s">
        <v>18</v>
      </c>
      <c r="J1134" s="3" t="s">
        <v>19</v>
      </c>
      <c r="K1134" s="3"/>
    </row>
    <row r="1135" spans="1:11" ht="43.2" x14ac:dyDescent="0.3">
      <c r="A1135" s="3" t="s">
        <v>2484</v>
      </c>
      <c r="B1135" s="3" t="str">
        <f>"029167057"</f>
        <v>029167057</v>
      </c>
      <c r="C1135" s="3" t="s">
        <v>318</v>
      </c>
      <c r="D1135" s="3" t="s">
        <v>2485</v>
      </c>
      <c r="E1135" s="3" t="s">
        <v>239</v>
      </c>
      <c r="F1135" s="2">
        <v>44134</v>
      </c>
      <c r="G1135" s="2"/>
      <c r="H1135" s="1825" t="s">
        <v>17</v>
      </c>
      <c r="I1135" s="1826" t="s">
        <v>32</v>
      </c>
      <c r="J1135" s="3" t="s">
        <v>19</v>
      </c>
      <c r="K1135" s="3"/>
    </row>
    <row r="1136" spans="1:11" ht="43.2" x14ac:dyDescent="0.3">
      <c r="A1136" s="3" t="s">
        <v>2484</v>
      </c>
      <c r="B1136" s="3" t="str">
        <f>"029167069"</f>
        <v>029167069</v>
      </c>
      <c r="C1136" s="3" t="s">
        <v>318</v>
      </c>
      <c r="D1136" s="3" t="s">
        <v>2486</v>
      </c>
      <c r="E1136" s="3" t="s">
        <v>239</v>
      </c>
      <c r="F1136" s="2">
        <v>44134</v>
      </c>
      <c r="G1136" s="2"/>
      <c r="H1136" s="1827" t="s">
        <v>17</v>
      </c>
      <c r="I1136" s="1828" t="s">
        <v>32</v>
      </c>
      <c r="J1136" s="3" t="s">
        <v>19</v>
      </c>
      <c r="K1136" s="3"/>
    </row>
    <row r="1137" spans="1:11" ht="86.4" x14ac:dyDescent="0.3">
      <c r="A1137" s="3" t="s">
        <v>2487</v>
      </c>
      <c r="B1137" s="3" t="str">
        <f>"045104015"</f>
        <v>045104015</v>
      </c>
      <c r="C1137" s="3" t="s">
        <v>2488</v>
      </c>
      <c r="D1137" s="3" t="s">
        <v>2489</v>
      </c>
      <c r="E1137" s="3" t="s">
        <v>2490</v>
      </c>
      <c r="F1137" s="2">
        <v>44197</v>
      </c>
      <c r="G1137" s="2"/>
      <c r="H1137" s="1829" t="s">
        <v>17</v>
      </c>
      <c r="I1137" s="1830" t="s">
        <v>18</v>
      </c>
      <c r="J1137" s="3" t="s">
        <v>19</v>
      </c>
      <c r="K1137" s="3"/>
    </row>
    <row r="1138" spans="1:11" ht="100.8" x14ac:dyDescent="0.3">
      <c r="A1138" s="3" t="s">
        <v>2487</v>
      </c>
      <c r="B1138" s="3" t="str">
        <f>"045104130"</f>
        <v>045104130</v>
      </c>
      <c r="C1138" s="3" t="s">
        <v>2488</v>
      </c>
      <c r="D1138" s="3" t="s">
        <v>2491</v>
      </c>
      <c r="E1138" s="3" t="s">
        <v>2490</v>
      </c>
      <c r="F1138" s="2">
        <v>44197</v>
      </c>
      <c r="G1138" s="2"/>
      <c r="H1138" s="1831" t="s">
        <v>17</v>
      </c>
      <c r="I1138" s="1832" t="s">
        <v>18</v>
      </c>
      <c r="J1138" s="3" t="s">
        <v>19</v>
      </c>
      <c r="K1138" s="3"/>
    </row>
    <row r="1139" spans="1:11" ht="43.2" x14ac:dyDescent="0.3">
      <c r="A1139" s="3" t="s">
        <v>2492</v>
      </c>
      <c r="B1139" s="3" t="str">
        <f>"037298167"</f>
        <v>037298167</v>
      </c>
      <c r="C1139" s="3" t="s">
        <v>2493</v>
      </c>
      <c r="D1139" s="3" t="s">
        <v>2494</v>
      </c>
      <c r="E1139" s="3" t="s">
        <v>288</v>
      </c>
      <c r="F1139" s="2">
        <v>41526</v>
      </c>
      <c r="G1139" s="2"/>
      <c r="H1139" s="1833" t="s">
        <v>17</v>
      </c>
      <c r="I1139" s="1834" t="s">
        <v>18</v>
      </c>
      <c r="J1139" s="3" t="s">
        <v>19</v>
      </c>
      <c r="K1139" s="3"/>
    </row>
    <row r="1140" spans="1:11" ht="72" x14ac:dyDescent="0.3">
      <c r="A1140" s="3" t="s">
        <v>2495</v>
      </c>
      <c r="B1140" s="3" t="str">
        <f>"034185847"</f>
        <v>034185847</v>
      </c>
      <c r="C1140" s="3" t="s">
        <v>2496</v>
      </c>
      <c r="D1140" s="3" t="s">
        <v>2497</v>
      </c>
      <c r="E1140" s="3" t="s">
        <v>493</v>
      </c>
      <c r="F1140" s="2">
        <v>41310</v>
      </c>
      <c r="G1140" s="2"/>
      <c r="H1140" s="1835" t="s">
        <v>17</v>
      </c>
      <c r="I1140" s="1836" t="s">
        <v>18</v>
      </c>
      <c r="J1140" s="3" t="s">
        <v>19</v>
      </c>
      <c r="K1140" s="3"/>
    </row>
    <row r="1141" spans="1:11" ht="86.4" x14ac:dyDescent="0.3">
      <c r="A1141" s="3" t="s">
        <v>2498</v>
      </c>
      <c r="B1141" s="3" t="str">
        <f>"041655010"</f>
        <v>041655010</v>
      </c>
      <c r="C1141" s="3" t="s">
        <v>2142</v>
      </c>
      <c r="D1141" s="3" t="s">
        <v>2143</v>
      </c>
      <c r="E1141" s="3" t="s">
        <v>27</v>
      </c>
      <c r="F1141" s="2">
        <v>44065</v>
      </c>
      <c r="G1141" s="2">
        <v>44469</v>
      </c>
      <c r="H1141" s="1837" t="s">
        <v>17</v>
      </c>
      <c r="I1141" s="3" t="s">
        <v>2499</v>
      </c>
      <c r="J1141" s="3" t="s">
        <v>19</v>
      </c>
      <c r="K1141" s="3" t="s">
        <v>2500</v>
      </c>
    </row>
    <row r="1142" spans="1:11" ht="43.2" x14ac:dyDescent="0.3">
      <c r="A1142" s="3" t="s">
        <v>2501</v>
      </c>
      <c r="B1142" s="3" t="str">
        <f>"038703017"</f>
        <v>038703017</v>
      </c>
      <c r="C1142" s="3" t="s">
        <v>2502</v>
      </c>
      <c r="D1142" s="3" t="s">
        <v>2503</v>
      </c>
      <c r="E1142" s="3" t="s">
        <v>2504</v>
      </c>
      <c r="F1142" s="2">
        <v>41760</v>
      </c>
      <c r="G1142" s="2"/>
      <c r="H1142" s="1838" t="s">
        <v>37</v>
      </c>
      <c r="I1142" s="1839" t="s">
        <v>18</v>
      </c>
      <c r="J1142" s="3" t="s">
        <v>19</v>
      </c>
      <c r="K1142" s="3"/>
    </row>
    <row r="1143" spans="1:11" ht="57.6" x14ac:dyDescent="0.3">
      <c r="A1143" s="3" t="s">
        <v>2505</v>
      </c>
      <c r="B1143" s="3" t="str">
        <f>"006141016"</f>
        <v>006141016</v>
      </c>
      <c r="C1143" s="3" t="s">
        <v>2506</v>
      </c>
      <c r="D1143" s="3" t="s">
        <v>2507</v>
      </c>
      <c r="E1143" s="3" t="s">
        <v>303</v>
      </c>
      <c r="F1143" s="2">
        <v>44197</v>
      </c>
      <c r="G1143" s="2"/>
      <c r="H1143" s="1840" t="s">
        <v>37</v>
      </c>
      <c r="I1143" s="1841" t="s">
        <v>18</v>
      </c>
      <c r="J1143" s="3" t="s">
        <v>156</v>
      </c>
      <c r="K1143" s="3"/>
    </row>
    <row r="1144" spans="1:11" ht="43.2" x14ac:dyDescent="0.3">
      <c r="A1144" s="3" t="s">
        <v>2508</v>
      </c>
      <c r="B1144" s="3" t="str">
        <f>"037240052"</f>
        <v>037240052</v>
      </c>
      <c r="C1144" s="3" t="s">
        <v>2509</v>
      </c>
      <c r="D1144" s="3" t="s">
        <v>2510</v>
      </c>
      <c r="E1144" s="3" t="s">
        <v>2346</v>
      </c>
      <c r="F1144" s="2">
        <v>43402</v>
      </c>
      <c r="G1144" s="2">
        <v>44196</v>
      </c>
      <c r="H1144" s="1842" t="s">
        <v>17</v>
      </c>
      <c r="I1144" s="1843" t="s">
        <v>32</v>
      </c>
      <c r="J1144" s="3" t="s">
        <v>19</v>
      </c>
      <c r="K1144" s="3"/>
    </row>
    <row r="1145" spans="1:11" ht="43.2" x14ac:dyDescent="0.3">
      <c r="A1145" s="3" t="s">
        <v>2508</v>
      </c>
      <c r="B1145" s="3" t="str">
        <f>"037240064"</f>
        <v>037240064</v>
      </c>
      <c r="C1145" s="3" t="s">
        <v>2509</v>
      </c>
      <c r="D1145" s="3" t="s">
        <v>2511</v>
      </c>
      <c r="E1145" s="3" t="s">
        <v>2346</v>
      </c>
      <c r="F1145" s="2">
        <v>43402</v>
      </c>
      <c r="G1145" s="2">
        <v>44196</v>
      </c>
      <c r="H1145" s="1844" t="s">
        <v>17</v>
      </c>
      <c r="I1145" s="1845" t="s">
        <v>32</v>
      </c>
      <c r="J1145" s="3" t="s">
        <v>19</v>
      </c>
      <c r="K1145" s="3"/>
    </row>
    <row r="1146" spans="1:11" ht="43.2" x14ac:dyDescent="0.3">
      <c r="A1146" s="3" t="s">
        <v>2508</v>
      </c>
      <c r="B1146" s="3" t="str">
        <f>"037240076"</f>
        <v>037240076</v>
      </c>
      <c r="C1146" s="3" t="s">
        <v>2509</v>
      </c>
      <c r="D1146" s="3" t="s">
        <v>2512</v>
      </c>
      <c r="E1146" s="3" t="s">
        <v>2346</v>
      </c>
      <c r="F1146" s="2">
        <v>43402</v>
      </c>
      <c r="G1146" s="2">
        <v>44196</v>
      </c>
      <c r="H1146" s="1846" t="s">
        <v>17</v>
      </c>
      <c r="I1146" s="1847" t="s">
        <v>32</v>
      </c>
      <c r="J1146" s="3" t="s">
        <v>19</v>
      </c>
      <c r="K1146" s="3"/>
    </row>
    <row r="1147" spans="1:11" ht="43.2" x14ac:dyDescent="0.3">
      <c r="A1147" s="3" t="s">
        <v>2508</v>
      </c>
      <c r="B1147" s="3" t="str">
        <f>"037240088"</f>
        <v>037240088</v>
      </c>
      <c r="C1147" s="3" t="s">
        <v>2509</v>
      </c>
      <c r="D1147" s="3" t="s">
        <v>2513</v>
      </c>
      <c r="E1147" s="3" t="s">
        <v>2346</v>
      </c>
      <c r="F1147" s="2">
        <v>43402</v>
      </c>
      <c r="G1147" s="2">
        <v>44196</v>
      </c>
      <c r="H1147" s="1848" t="s">
        <v>17</v>
      </c>
      <c r="I1147" s="1849" t="s">
        <v>32</v>
      </c>
      <c r="J1147" s="3" t="s">
        <v>19</v>
      </c>
      <c r="K1147" s="3"/>
    </row>
    <row r="1148" spans="1:11" ht="43.2" x14ac:dyDescent="0.3">
      <c r="A1148" s="3" t="s">
        <v>2508</v>
      </c>
      <c r="B1148" s="3" t="str">
        <f>"037240090"</f>
        <v>037240090</v>
      </c>
      <c r="C1148" s="3" t="s">
        <v>2509</v>
      </c>
      <c r="D1148" s="3" t="s">
        <v>2514</v>
      </c>
      <c r="E1148" s="3" t="s">
        <v>2346</v>
      </c>
      <c r="F1148" s="2">
        <v>43402</v>
      </c>
      <c r="G1148" s="2">
        <v>44196</v>
      </c>
      <c r="H1148" s="1850" t="s">
        <v>37</v>
      </c>
      <c r="I1148" s="1851" t="s">
        <v>32</v>
      </c>
      <c r="J1148" s="3" t="s">
        <v>19</v>
      </c>
      <c r="K1148" s="3"/>
    </row>
    <row r="1149" spans="1:11" ht="43.2" x14ac:dyDescent="0.3">
      <c r="A1149" s="3" t="s">
        <v>2508</v>
      </c>
      <c r="B1149" s="3" t="str">
        <f>"037240102"</f>
        <v>037240102</v>
      </c>
      <c r="C1149" s="3" t="s">
        <v>2509</v>
      </c>
      <c r="D1149" s="3" t="s">
        <v>2515</v>
      </c>
      <c r="E1149" s="3" t="s">
        <v>2346</v>
      </c>
      <c r="F1149" s="2">
        <v>43402</v>
      </c>
      <c r="G1149" s="2">
        <v>44196</v>
      </c>
      <c r="H1149" s="1852" t="s">
        <v>17</v>
      </c>
      <c r="I1149" s="1853" t="s">
        <v>32</v>
      </c>
      <c r="J1149" s="3" t="s">
        <v>19</v>
      </c>
      <c r="K1149" s="3"/>
    </row>
    <row r="1150" spans="1:11" ht="43.2" x14ac:dyDescent="0.3">
      <c r="A1150" s="3" t="s">
        <v>2508</v>
      </c>
      <c r="B1150" s="3" t="str">
        <f>"037240114"</f>
        <v>037240114</v>
      </c>
      <c r="C1150" s="3" t="s">
        <v>2509</v>
      </c>
      <c r="D1150" s="3" t="s">
        <v>2516</v>
      </c>
      <c r="E1150" s="3" t="s">
        <v>2346</v>
      </c>
      <c r="F1150" s="2">
        <v>43402</v>
      </c>
      <c r="G1150" s="2">
        <v>44196</v>
      </c>
      <c r="H1150" s="1854" t="s">
        <v>37</v>
      </c>
      <c r="I1150" s="1855" t="s">
        <v>32</v>
      </c>
      <c r="J1150" s="3" t="s">
        <v>19</v>
      </c>
      <c r="K1150" s="3"/>
    </row>
    <row r="1151" spans="1:11" ht="43.2" x14ac:dyDescent="0.3">
      <c r="A1151" s="3" t="s">
        <v>2508</v>
      </c>
      <c r="B1151" s="3" t="str">
        <f>"037240126"</f>
        <v>037240126</v>
      </c>
      <c r="C1151" s="3" t="s">
        <v>2509</v>
      </c>
      <c r="D1151" s="3" t="s">
        <v>2517</v>
      </c>
      <c r="E1151" s="3" t="s">
        <v>2346</v>
      </c>
      <c r="F1151" s="2">
        <v>43402</v>
      </c>
      <c r="G1151" s="2">
        <v>44196</v>
      </c>
      <c r="H1151" s="1856" t="s">
        <v>37</v>
      </c>
      <c r="I1151" s="1857" t="s">
        <v>32</v>
      </c>
      <c r="J1151" s="3" t="s">
        <v>19</v>
      </c>
      <c r="K1151" s="3"/>
    </row>
    <row r="1152" spans="1:11" ht="43.2" x14ac:dyDescent="0.3">
      <c r="A1152" s="3" t="s">
        <v>2508</v>
      </c>
      <c r="B1152" s="3" t="str">
        <f>"037240138"</f>
        <v>037240138</v>
      </c>
      <c r="C1152" s="3" t="s">
        <v>2509</v>
      </c>
      <c r="D1152" s="3" t="s">
        <v>2518</v>
      </c>
      <c r="E1152" s="3" t="s">
        <v>2346</v>
      </c>
      <c r="F1152" s="2">
        <v>43402</v>
      </c>
      <c r="G1152" s="2">
        <v>44196</v>
      </c>
      <c r="H1152" s="1858" t="s">
        <v>37</v>
      </c>
      <c r="I1152" s="1859" t="s">
        <v>32</v>
      </c>
      <c r="J1152" s="3" t="s">
        <v>19</v>
      </c>
      <c r="K1152" s="3"/>
    </row>
    <row r="1153" spans="1:11" ht="129.6" x14ac:dyDescent="0.3">
      <c r="A1153" s="3" t="s">
        <v>2519</v>
      </c>
      <c r="B1153" s="3" t="str">
        <f>"034832194"</f>
        <v>034832194</v>
      </c>
      <c r="C1153" s="3" t="s">
        <v>2520</v>
      </c>
      <c r="D1153" s="3" t="s">
        <v>2521</v>
      </c>
      <c r="E1153" s="3" t="s">
        <v>182</v>
      </c>
      <c r="F1153" s="2">
        <v>44105</v>
      </c>
      <c r="G1153" s="2"/>
      <c r="H1153" s="1860" t="s">
        <v>37</v>
      </c>
      <c r="I1153" s="1861" t="s">
        <v>18</v>
      </c>
      <c r="J1153" s="3" t="s">
        <v>156</v>
      </c>
      <c r="K1153" s="3" t="s">
        <v>2522</v>
      </c>
    </row>
    <row r="1154" spans="1:11" ht="129.6" x14ac:dyDescent="0.3">
      <c r="A1154" s="3" t="s">
        <v>2519</v>
      </c>
      <c r="B1154" s="3" t="str">
        <f>"034832271"</f>
        <v>034832271</v>
      </c>
      <c r="C1154" s="3" t="s">
        <v>2520</v>
      </c>
      <c r="D1154" s="3" t="s">
        <v>2523</v>
      </c>
      <c r="E1154" s="3" t="s">
        <v>182</v>
      </c>
      <c r="F1154" s="2">
        <v>44105</v>
      </c>
      <c r="G1154" s="2"/>
      <c r="H1154" s="1862" t="s">
        <v>37</v>
      </c>
      <c r="I1154" s="1863" t="s">
        <v>18</v>
      </c>
      <c r="J1154" s="3" t="s">
        <v>156</v>
      </c>
      <c r="K1154" s="3" t="s">
        <v>2522</v>
      </c>
    </row>
    <row r="1155" spans="1:11" ht="72" x14ac:dyDescent="0.3">
      <c r="A1155" s="3" t="s">
        <v>2519</v>
      </c>
      <c r="B1155" s="3" t="str">
        <f>"034832319"</f>
        <v>034832319</v>
      </c>
      <c r="C1155" s="3" t="s">
        <v>2520</v>
      </c>
      <c r="D1155" s="3" t="s">
        <v>2524</v>
      </c>
      <c r="E1155" s="3" t="s">
        <v>182</v>
      </c>
      <c r="F1155" s="2">
        <v>43490</v>
      </c>
      <c r="G1155" s="2"/>
      <c r="H1155" s="1864" t="s">
        <v>37</v>
      </c>
      <c r="I1155" s="1865" t="s">
        <v>18</v>
      </c>
      <c r="J1155" s="3" t="s">
        <v>156</v>
      </c>
      <c r="K1155" s="3" t="s">
        <v>2525</v>
      </c>
    </row>
    <row r="1156" spans="1:11" ht="72" x14ac:dyDescent="0.3">
      <c r="A1156" s="3" t="s">
        <v>2519</v>
      </c>
      <c r="B1156" s="3" t="str">
        <f>"034832345"</f>
        <v>034832345</v>
      </c>
      <c r="C1156" s="3" t="s">
        <v>2520</v>
      </c>
      <c r="D1156" s="3" t="s">
        <v>2526</v>
      </c>
      <c r="E1156" s="3" t="s">
        <v>182</v>
      </c>
      <c r="F1156" s="2">
        <v>43530</v>
      </c>
      <c r="G1156" s="2"/>
      <c r="H1156" s="1866" t="s">
        <v>37</v>
      </c>
      <c r="I1156" s="1867" t="s">
        <v>18</v>
      </c>
      <c r="J1156" s="3" t="s">
        <v>156</v>
      </c>
      <c r="K1156" s="3" t="s">
        <v>2525</v>
      </c>
    </row>
    <row r="1157" spans="1:11" ht="129.6" x14ac:dyDescent="0.3">
      <c r="A1157" s="3" t="s">
        <v>2519</v>
      </c>
      <c r="B1157" s="3" t="str">
        <f>"034832232"</f>
        <v>034832232</v>
      </c>
      <c r="C1157" s="3" t="s">
        <v>2520</v>
      </c>
      <c r="D1157" s="3" t="s">
        <v>2527</v>
      </c>
      <c r="E1157" s="3" t="s">
        <v>182</v>
      </c>
      <c r="F1157" s="2">
        <v>44148</v>
      </c>
      <c r="G1157" s="2"/>
      <c r="H1157" s="1868" t="s">
        <v>37</v>
      </c>
      <c r="I1157" s="1869" t="s">
        <v>18</v>
      </c>
      <c r="J1157" s="3" t="s">
        <v>2528</v>
      </c>
      <c r="K1157" s="3" t="s">
        <v>2522</v>
      </c>
    </row>
    <row r="1158" spans="1:11" ht="57.6" x14ac:dyDescent="0.3">
      <c r="A1158" s="3" t="s">
        <v>2529</v>
      </c>
      <c r="B1158" s="3" t="str">
        <f>"038024016"</f>
        <v>038024016</v>
      </c>
      <c r="C1158" s="3" t="s">
        <v>2530</v>
      </c>
      <c r="D1158" s="3" t="s">
        <v>2531</v>
      </c>
      <c r="E1158" s="3" t="s">
        <v>2504</v>
      </c>
      <c r="F1158" s="2">
        <v>44158</v>
      </c>
      <c r="G1158" s="2"/>
      <c r="H1158" s="1870" t="s">
        <v>17</v>
      </c>
      <c r="I1158" s="1871" t="s">
        <v>18</v>
      </c>
      <c r="J1158" s="3" t="s">
        <v>19</v>
      </c>
      <c r="K1158" s="3"/>
    </row>
    <row r="1159" spans="1:11" ht="57.6" x14ac:dyDescent="0.3">
      <c r="A1159" s="3" t="s">
        <v>2529</v>
      </c>
      <c r="B1159" s="3" t="str">
        <f>"038024067"</f>
        <v>038024067</v>
      </c>
      <c r="C1159" s="3" t="s">
        <v>2530</v>
      </c>
      <c r="D1159" s="3" t="s">
        <v>2532</v>
      </c>
      <c r="E1159" s="3" t="s">
        <v>2504</v>
      </c>
      <c r="F1159" s="2">
        <v>44179</v>
      </c>
      <c r="G1159" s="2"/>
      <c r="H1159" s="1872" t="s">
        <v>17</v>
      </c>
      <c r="I1159" s="1873" t="s">
        <v>18</v>
      </c>
      <c r="J1159" s="3" t="s">
        <v>19</v>
      </c>
      <c r="K1159" s="3"/>
    </row>
    <row r="1160" spans="1:11" ht="57.6" x14ac:dyDescent="0.3">
      <c r="A1160" s="3" t="s">
        <v>2529</v>
      </c>
      <c r="B1160" s="3" t="str">
        <f>"038024117"</f>
        <v>038024117</v>
      </c>
      <c r="C1160" s="3" t="s">
        <v>2530</v>
      </c>
      <c r="D1160" s="3" t="s">
        <v>2533</v>
      </c>
      <c r="E1160" s="3" t="s">
        <v>2504</v>
      </c>
      <c r="F1160" s="2">
        <v>44203</v>
      </c>
      <c r="G1160" s="2"/>
      <c r="H1160" s="1874" t="s">
        <v>17</v>
      </c>
      <c r="I1160" s="1875" t="s">
        <v>18</v>
      </c>
      <c r="J1160" s="3" t="s">
        <v>19</v>
      </c>
      <c r="K1160" s="3"/>
    </row>
    <row r="1161" spans="1:11" ht="43.2" x14ac:dyDescent="0.3">
      <c r="A1161" s="3" t="s">
        <v>2534</v>
      </c>
      <c r="B1161" s="3" t="str">
        <f>"028282477"</f>
        <v>028282477</v>
      </c>
      <c r="C1161" s="3" t="s">
        <v>2535</v>
      </c>
      <c r="D1161" s="3" t="s">
        <v>2536</v>
      </c>
      <c r="E1161" s="3" t="s">
        <v>2537</v>
      </c>
      <c r="F1161" s="2">
        <v>43683</v>
      </c>
      <c r="G1161" s="2">
        <v>43729</v>
      </c>
      <c r="H1161" s="1876" t="s">
        <v>17</v>
      </c>
      <c r="I1161" s="3" t="s">
        <v>41</v>
      </c>
      <c r="J1161" s="3" t="s">
        <v>19</v>
      </c>
      <c r="K1161" s="3"/>
    </row>
    <row r="1162" spans="1:11" ht="43.2" x14ac:dyDescent="0.3">
      <c r="A1162" s="3" t="s">
        <v>2538</v>
      </c>
      <c r="B1162" s="3" t="str">
        <f>"024425035"</f>
        <v>024425035</v>
      </c>
      <c r="C1162" s="3" t="s">
        <v>2539</v>
      </c>
      <c r="D1162" s="3" t="s">
        <v>2540</v>
      </c>
      <c r="E1162" s="3" t="s">
        <v>2541</v>
      </c>
      <c r="F1162" s="2">
        <v>43585</v>
      </c>
      <c r="G1162" s="2"/>
      <c r="H1162" s="1877" t="s">
        <v>37</v>
      </c>
      <c r="I1162" s="1878" t="s">
        <v>18</v>
      </c>
      <c r="J1162" s="3" t="s">
        <v>19</v>
      </c>
      <c r="K1162" s="3"/>
    </row>
    <row r="1163" spans="1:11" ht="43.2" x14ac:dyDescent="0.3">
      <c r="A1163" s="3" t="s">
        <v>2538</v>
      </c>
      <c r="B1163" s="3" t="str">
        <f>"024425050"</f>
        <v>024425050</v>
      </c>
      <c r="C1163" s="3" t="s">
        <v>2539</v>
      </c>
      <c r="D1163" s="3" t="s">
        <v>2542</v>
      </c>
      <c r="E1163" s="3" t="s">
        <v>2541</v>
      </c>
      <c r="F1163" s="2">
        <v>43501</v>
      </c>
      <c r="G1163" s="2"/>
      <c r="H1163" s="1879" t="s">
        <v>37</v>
      </c>
      <c r="I1163" s="3" t="s">
        <v>41</v>
      </c>
      <c r="J1163" s="3" t="s">
        <v>19</v>
      </c>
      <c r="K1163" s="3"/>
    </row>
    <row r="1164" spans="1:11" ht="43.2" x14ac:dyDescent="0.3">
      <c r="A1164" s="3" t="s">
        <v>2538</v>
      </c>
      <c r="B1164" s="3" t="str">
        <f>"024425062"</f>
        <v>024425062</v>
      </c>
      <c r="C1164" s="3" t="s">
        <v>2539</v>
      </c>
      <c r="D1164" s="3" t="s">
        <v>2543</v>
      </c>
      <c r="E1164" s="3" t="s">
        <v>2541</v>
      </c>
      <c r="F1164" s="2">
        <v>43538</v>
      </c>
      <c r="G1164" s="2"/>
      <c r="H1164" s="1880" t="s">
        <v>37</v>
      </c>
      <c r="I1164" s="1881" t="s">
        <v>18</v>
      </c>
      <c r="J1164" s="3" t="s">
        <v>19</v>
      </c>
      <c r="K1164" s="3"/>
    </row>
    <row r="1165" spans="1:11" ht="43.2" x14ac:dyDescent="0.3">
      <c r="A1165" s="3" t="s">
        <v>2538</v>
      </c>
      <c r="B1165" s="3" t="str">
        <f>"024425100"</f>
        <v>024425100</v>
      </c>
      <c r="C1165" s="3" t="s">
        <v>2539</v>
      </c>
      <c r="D1165" s="3" t="s">
        <v>2544</v>
      </c>
      <c r="E1165" s="3" t="s">
        <v>2541</v>
      </c>
      <c r="F1165" s="2">
        <v>43623</v>
      </c>
      <c r="G1165" s="2"/>
      <c r="H1165" s="1882" t="s">
        <v>37</v>
      </c>
      <c r="I1165" s="3" t="s">
        <v>41</v>
      </c>
      <c r="J1165" s="3" t="s">
        <v>19</v>
      </c>
      <c r="K1165" s="3"/>
    </row>
    <row r="1166" spans="1:11" ht="43.2" x14ac:dyDescent="0.3">
      <c r="A1166" s="3" t="s">
        <v>2545</v>
      </c>
      <c r="B1166" s="3" t="str">
        <f>"025412026"</f>
        <v>025412026</v>
      </c>
      <c r="C1166" s="3" t="s">
        <v>2546</v>
      </c>
      <c r="D1166" s="3" t="s">
        <v>2547</v>
      </c>
      <c r="E1166" s="3" t="s">
        <v>1102</v>
      </c>
      <c r="F1166" s="2">
        <v>42170</v>
      </c>
      <c r="G1166" s="2"/>
      <c r="H1166" s="1883" t="s">
        <v>37</v>
      </c>
      <c r="I1166" s="1884" t="s">
        <v>32</v>
      </c>
      <c r="J1166" s="3" t="s">
        <v>19</v>
      </c>
      <c r="K1166" s="3"/>
    </row>
    <row r="1167" spans="1:11" ht="43.2" x14ac:dyDescent="0.3">
      <c r="A1167" s="3" t="s">
        <v>2548</v>
      </c>
      <c r="B1167" s="3" t="str">
        <f>"041295027"</f>
        <v>041295027</v>
      </c>
      <c r="C1167" s="3" t="s">
        <v>487</v>
      </c>
      <c r="D1167" s="3" t="s">
        <v>968</v>
      </c>
      <c r="E1167" s="3" t="s">
        <v>126</v>
      </c>
      <c r="F1167" s="2">
        <v>43537</v>
      </c>
      <c r="G1167" s="2"/>
      <c r="H1167" s="1885" t="s">
        <v>17</v>
      </c>
      <c r="I1167" s="1886" t="s">
        <v>32</v>
      </c>
      <c r="J1167" s="3" t="s">
        <v>19</v>
      </c>
      <c r="K1167" s="3"/>
    </row>
    <row r="1168" spans="1:11" ht="43.2" x14ac:dyDescent="0.3">
      <c r="A1168" s="3" t="s">
        <v>2548</v>
      </c>
      <c r="B1168" s="3" t="str">
        <f>"041295039"</f>
        <v>041295039</v>
      </c>
      <c r="C1168" s="3" t="s">
        <v>487</v>
      </c>
      <c r="D1168" s="3" t="s">
        <v>2549</v>
      </c>
      <c r="E1168" s="3" t="s">
        <v>126</v>
      </c>
      <c r="F1168" s="2">
        <v>43191</v>
      </c>
      <c r="G1168" s="2"/>
      <c r="H1168" s="1887" t="s">
        <v>17</v>
      </c>
      <c r="I1168" s="1888" t="s">
        <v>32</v>
      </c>
      <c r="J1168" s="3" t="s">
        <v>19</v>
      </c>
      <c r="K1168" s="3"/>
    </row>
    <row r="1169" spans="1:11" ht="43.2" x14ac:dyDescent="0.3">
      <c r="A1169" s="3" t="s">
        <v>2550</v>
      </c>
      <c r="B1169" s="3" t="str">
        <f>"042107019"</f>
        <v>042107019</v>
      </c>
      <c r="C1169" s="3" t="s">
        <v>487</v>
      </c>
      <c r="D1169" s="3" t="s">
        <v>2551</v>
      </c>
      <c r="E1169" s="3" t="s">
        <v>83</v>
      </c>
      <c r="F1169" s="2">
        <v>43650</v>
      </c>
      <c r="G1169" s="2"/>
      <c r="H1169" s="1889" t="s">
        <v>17</v>
      </c>
      <c r="I1169" s="3" t="s">
        <v>41</v>
      </c>
      <c r="J1169" s="3" t="s">
        <v>19</v>
      </c>
      <c r="K1169" s="3"/>
    </row>
    <row r="1170" spans="1:11" ht="43.2" x14ac:dyDescent="0.3">
      <c r="A1170" s="3" t="s">
        <v>2550</v>
      </c>
      <c r="B1170" s="3" t="str">
        <f>"042107045"</f>
        <v>042107045</v>
      </c>
      <c r="C1170" s="3" t="s">
        <v>487</v>
      </c>
      <c r="D1170" s="3" t="s">
        <v>2552</v>
      </c>
      <c r="E1170" s="3" t="s">
        <v>83</v>
      </c>
      <c r="F1170" s="2">
        <v>43966</v>
      </c>
      <c r="G1170" s="2"/>
      <c r="H1170" s="1890" t="s">
        <v>17</v>
      </c>
      <c r="I1170" s="3" t="s">
        <v>41</v>
      </c>
      <c r="J1170" s="3" t="s">
        <v>19</v>
      </c>
      <c r="K1170" s="3"/>
    </row>
    <row r="1171" spans="1:11" ht="57.6" x14ac:dyDescent="0.3">
      <c r="A1171" s="3" t="s">
        <v>2553</v>
      </c>
      <c r="B1171" s="3" t="str">
        <f>"041243039"</f>
        <v>041243039</v>
      </c>
      <c r="C1171" s="3" t="s">
        <v>2554</v>
      </c>
      <c r="D1171" s="3" t="s">
        <v>2555</v>
      </c>
      <c r="E1171" s="3" t="s">
        <v>83</v>
      </c>
      <c r="F1171" s="2">
        <v>43745</v>
      </c>
      <c r="G1171" s="2"/>
      <c r="H1171" s="1891" t="s">
        <v>17</v>
      </c>
      <c r="I1171" s="3" t="s">
        <v>41</v>
      </c>
      <c r="J1171" s="3" t="s">
        <v>19</v>
      </c>
      <c r="K1171" s="3"/>
    </row>
    <row r="1172" spans="1:11" ht="57.6" x14ac:dyDescent="0.3">
      <c r="A1172" s="3" t="s">
        <v>2553</v>
      </c>
      <c r="B1172" s="3" t="str">
        <f>"041243142"</f>
        <v>041243142</v>
      </c>
      <c r="C1172" s="3" t="s">
        <v>2554</v>
      </c>
      <c r="D1172" s="3" t="s">
        <v>2556</v>
      </c>
      <c r="E1172" s="3" t="s">
        <v>83</v>
      </c>
      <c r="F1172" s="2">
        <v>43656</v>
      </c>
      <c r="G1172" s="2"/>
      <c r="H1172" s="1892" t="s">
        <v>17</v>
      </c>
      <c r="I1172" s="3" t="s">
        <v>41</v>
      </c>
      <c r="J1172" s="3" t="s">
        <v>19</v>
      </c>
      <c r="K1172" s="3"/>
    </row>
    <row r="1173" spans="1:11" ht="57.6" x14ac:dyDescent="0.3">
      <c r="A1173" s="3" t="s">
        <v>2553</v>
      </c>
      <c r="B1173" s="3" t="str">
        <f>"041243256"</f>
        <v>041243256</v>
      </c>
      <c r="C1173" s="3" t="s">
        <v>2554</v>
      </c>
      <c r="D1173" s="3" t="s">
        <v>2557</v>
      </c>
      <c r="E1173" s="3" t="s">
        <v>83</v>
      </c>
      <c r="F1173" s="2">
        <v>43613</v>
      </c>
      <c r="G1173" s="2"/>
      <c r="H1173" s="1893" t="s">
        <v>17</v>
      </c>
      <c r="I1173" s="3" t="s">
        <v>41</v>
      </c>
      <c r="J1173" s="3" t="s">
        <v>19</v>
      </c>
      <c r="K1173" s="3"/>
    </row>
    <row r="1174" spans="1:11" ht="43.2" x14ac:dyDescent="0.3">
      <c r="A1174" s="3" t="s">
        <v>2558</v>
      </c>
      <c r="B1174" s="3" t="str">
        <f>"041311123"</f>
        <v>041311123</v>
      </c>
      <c r="C1174" s="3" t="s">
        <v>2554</v>
      </c>
      <c r="D1174" s="3" t="s">
        <v>2559</v>
      </c>
      <c r="E1174" s="3" t="s">
        <v>107</v>
      </c>
      <c r="F1174" s="2">
        <v>44102</v>
      </c>
      <c r="G1174" s="2"/>
      <c r="H1174" s="1894" t="s">
        <v>17</v>
      </c>
      <c r="I1174" s="3" t="s">
        <v>41</v>
      </c>
      <c r="J1174" s="3" t="s">
        <v>19</v>
      </c>
      <c r="K1174" s="3"/>
    </row>
    <row r="1175" spans="1:11" ht="43.2" x14ac:dyDescent="0.3">
      <c r="A1175" s="3" t="s">
        <v>2558</v>
      </c>
      <c r="B1175" s="3" t="str">
        <f>"041311325"</f>
        <v>041311325</v>
      </c>
      <c r="C1175" s="3" t="s">
        <v>2554</v>
      </c>
      <c r="D1175" s="3" t="s">
        <v>2560</v>
      </c>
      <c r="E1175" s="3" t="s">
        <v>107</v>
      </c>
      <c r="F1175" s="2">
        <v>44102</v>
      </c>
      <c r="G1175" s="2"/>
      <c r="H1175" s="1895" t="s">
        <v>17</v>
      </c>
      <c r="I1175" s="3" t="s">
        <v>41</v>
      </c>
      <c r="J1175" s="3" t="s">
        <v>19</v>
      </c>
      <c r="K1175" s="3"/>
    </row>
    <row r="1176" spans="1:11" ht="43.2" x14ac:dyDescent="0.3">
      <c r="A1176" s="3" t="s">
        <v>2558</v>
      </c>
      <c r="B1176" s="3" t="str">
        <f>"041311592"</f>
        <v>041311592</v>
      </c>
      <c r="C1176" s="3" t="s">
        <v>2554</v>
      </c>
      <c r="D1176" s="3" t="s">
        <v>2561</v>
      </c>
      <c r="E1176" s="3" t="s">
        <v>107</v>
      </c>
      <c r="F1176" s="2">
        <v>44102</v>
      </c>
      <c r="G1176" s="2"/>
      <c r="H1176" s="1896" t="s">
        <v>17</v>
      </c>
      <c r="I1176" s="3" t="s">
        <v>41</v>
      </c>
      <c r="J1176" s="3" t="s">
        <v>19</v>
      </c>
      <c r="K1176" s="3"/>
    </row>
    <row r="1177" spans="1:11" ht="43.2" x14ac:dyDescent="0.3">
      <c r="A1177" s="3" t="s">
        <v>2562</v>
      </c>
      <c r="B1177" s="3" t="str">
        <f>"042177079"</f>
        <v>042177079</v>
      </c>
      <c r="C1177" s="3" t="s">
        <v>487</v>
      </c>
      <c r="D1177" s="3" t="s">
        <v>2563</v>
      </c>
      <c r="E1177" s="3" t="s">
        <v>263</v>
      </c>
      <c r="F1177" s="2">
        <v>43522</v>
      </c>
      <c r="G1177" s="2"/>
      <c r="H1177" s="1897" t="s">
        <v>17</v>
      </c>
      <c r="I1177" s="1898" t="s">
        <v>18</v>
      </c>
      <c r="J1177" s="3" t="s">
        <v>19</v>
      </c>
      <c r="K1177" s="3"/>
    </row>
    <row r="1178" spans="1:11" ht="43.2" x14ac:dyDescent="0.3">
      <c r="A1178" s="3" t="s">
        <v>2562</v>
      </c>
      <c r="B1178" s="3" t="str">
        <f>"042177028"</f>
        <v>042177028</v>
      </c>
      <c r="C1178" s="3" t="s">
        <v>487</v>
      </c>
      <c r="D1178" s="3" t="s">
        <v>2564</v>
      </c>
      <c r="E1178" s="3" t="s">
        <v>263</v>
      </c>
      <c r="F1178" s="2">
        <v>43734</v>
      </c>
      <c r="G1178" s="2"/>
      <c r="H1178" s="1899" t="s">
        <v>17</v>
      </c>
      <c r="I1178" s="1900" t="s">
        <v>18</v>
      </c>
      <c r="J1178" s="3" t="s">
        <v>19</v>
      </c>
      <c r="K1178" s="3"/>
    </row>
    <row r="1179" spans="1:11" ht="43.2" x14ac:dyDescent="0.3">
      <c r="A1179" s="3" t="s">
        <v>2565</v>
      </c>
      <c r="B1179" s="3" t="str">
        <f>"040836292"</f>
        <v>040836292</v>
      </c>
      <c r="C1179" s="3" t="s">
        <v>487</v>
      </c>
      <c r="D1179" s="3" t="s">
        <v>2566</v>
      </c>
      <c r="E1179" s="3" t="s">
        <v>107</v>
      </c>
      <c r="F1179" s="2">
        <v>44099</v>
      </c>
      <c r="G1179" s="2"/>
      <c r="H1179" s="1901" t="s">
        <v>17</v>
      </c>
      <c r="I1179" s="3" t="s">
        <v>41</v>
      </c>
      <c r="J1179" s="3" t="s">
        <v>19</v>
      </c>
      <c r="K1179" s="3"/>
    </row>
    <row r="1180" spans="1:11" ht="43.2" x14ac:dyDescent="0.3">
      <c r="A1180" s="3" t="s">
        <v>2565</v>
      </c>
      <c r="B1180" s="3" t="str">
        <f>"040836684"</f>
        <v>040836684</v>
      </c>
      <c r="C1180" s="3" t="s">
        <v>487</v>
      </c>
      <c r="D1180" s="3" t="s">
        <v>2567</v>
      </c>
      <c r="E1180" s="3" t="s">
        <v>107</v>
      </c>
      <c r="F1180" s="2">
        <v>44099</v>
      </c>
      <c r="G1180" s="2"/>
      <c r="H1180" s="1902" t="s">
        <v>17</v>
      </c>
      <c r="I1180" s="3" t="s">
        <v>41</v>
      </c>
      <c r="J1180" s="3" t="s">
        <v>19</v>
      </c>
      <c r="K1180" s="3"/>
    </row>
    <row r="1181" spans="1:11" ht="43.2" x14ac:dyDescent="0.3">
      <c r="A1181" s="3" t="s">
        <v>2568</v>
      </c>
      <c r="B1181" s="3" t="str">
        <f>"040818217"</f>
        <v>040818217</v>
      </c>
      <c r="C1181" s="3" t="s">
        <v>487</v>
      </c>
      <c r="D1181" s="3" t="s">
        <v>2569</v>
      </c>
      <c r="E1181" s="3" t="s">
        <v>64</v>
      </c>
      <c r="F1181" s="2">
        <v>44200</v>
      </c>
      <c r="G1181" s="2"/>
      <c r="H1181" s="1903" t="s">
        <v>17</v>
      </c>
      <c r="I1181" s="3" t="s">
        <v>41</v>
      </c>
      <c r="J1181" s="3" t="s">
        <v>19</v>
      </c>
      <c r="K1181" s="3"/>
    </row>
    <row r="1182" spans="1:11" ht="57.6" x14ac:dyDescent="0.3">
      <c r="A1182" s="3" t="s">
        <v>2570</v>
      </c>
      <c r="B1182" s="3" t="str">
        <f>"041851179"</f>
        <v>041851179</v>
      </c>
      <c r="C1182" s="3" t="s">
        <v>2554</v>
      </c>
      <c r="D1182" s="3" t="s">
        <v>2571</v>
      </c>
      <c r="E1182" s="3" t="s">
        <v>122</v>
      </c>
      <c r="F1182" s="2">
        <v>43221</v>
      </c>
      <c r="G1182" s="2"/>
      <c r="H1182" s="1904" t="s">
        <v>17</v>
      </c>
      <c r="I1182" s="1905" t="s">
        <v>18</v>
      </c>
      <c r="J1182" s="3" t="s">
        <v>19</v>
      </c>
      <c r="K1182" s="3"/>
    </row>
    <row r="1183" spans="1:11" ht="57.6" x14ac:dyDescent="0.3">
      <c r="A1183" s="3" t="s">
        <v>2570</v>
      </c>
      <c r="B1183" s="3" t="str">
        <f>"041851419"</f>
        <v>041851419</v>
      </c>
      <c r="C1183" s="3" t="s">
        <v>2554</v>
      </c>
      <c r="D1183" s="3" t="s">
        <v>2572</v>
      </c>
      <c r="E1183" s="3" t="s">
        <v>122</v>
      </c>
      <c r="F1183" s="2">
        <v>43191</v>
      </c>
      <c r="G1183" s="2"/>
      <c r="H1183" s="1906" t="s">
        <v>17</v>
      </c>
      <c r="I1183" s="1907" t="s">
        <v>18</v>
      </c>
      <c r="J1183" s="3" t="s">
        <v>19</v>
      </c>
      <c r="K1183" s="3"/>
    </row>
    <row r="1184" spans="1:11" ht="57.6" x14ac:dyDescent="0.3">
      <c r="A1184" s="3" t="s">
        <v>2570</v>
      </c>
      <c r="B1184" s="3" t="str">
        <f>"041851650"</f>
        <v>041851650</v>
      </c>
      <c r="C1184" s="3" t="s">
        <v>2554</v>
      </c>
      <c r="D1184" s="3" t="s">
        <v>2573</v>
      </c>
      <c r="E1184" s="3" t="s">
        <v>122</v>
      </c>
      <c r="F1184" s="2">
        <v>43160</v>
      </c>
      <c r="G1184" s="2"/>
      <c r="H1184" s="1908" t="s">
        <v>17</v>
      </c>
      <c r="I1184" s="1909" t="s">
        <v>18</v>
      </c>
      <c r="J1184" s="3" t="s">
        <v>19</v>
      </c>
      <c r="K1184" s="3"/>
    </row>
    <row r="1185" spans="1:11" ht="43.2" x14ac:dyDescent="0.3">
      <c r="A1185" s="3" t="s">
        <v>2574</v>
      </c>
      <c r="B1185" s="3" t="str">
        <f>"044241038"</f>
        <v>044241038</v>
      </c>
      <c r="C1185" s="3" t="s">
        <v>2575</v>
      </c>
      <c r="D1185" s="3" t="s">
        <v>2576</v>
      </c>
      <c r="E1185" s="3" t="s">
        <v>16</v>
      </c>
      <c r="F1185" s="2">
        <v>43894</v>
      </c>
      <c r="G1185" s="2">
        <v>44196</v>
      </c>
      <c r="H1185" s="1910" t="s">
        <v>17</v>
      </c>
      <c r="I1185" s="3" t="s">
        <v>41</v>
      </c>
      <c r="J1185" s="3" t="s">
        <v>19</v>
      </c>
      <c r="K1185" s="3"/>
    </row>
    <row r="1186" spans="1:11" ht="43.2" x14ac:dyDescent="0.3">
      <c r="A1186" s="3" t="s">
        <v>2577</v>
      </c>
      <c r="B1186" s="3" t="str">
        <f>"038143044"</f>
        <v>038143044</v>
      </c>
      <c r="C1186" s="3" t="s">
        <v>2575</v>
      </c>
      <c r="D1186" s="3" t="s">
        <v>2576</v>
      </c>
      <c r="E1186" s="3" t="s">
        <v>83</v>
      </c>
      <c r="F1186" s="2">
        <v>43613</v>
      </c>
      <c r="G1186" s="2"/>
      <c r="H1186" s="1911" t="s">
        <v>17</v>
      </c>
      <c r="I1186" s="3" t="s">
        <v>41</v>
      </c>
      <c r="J1186" s="3" t="s">
        <v>19</v>
      </c>
      <c r="K1186" s="3"/>
    </row>
    <row r="1187" spans="1:11" ht="43.2" x14ac:dyDescent="0.3">
      <c r="A1187" s="3" t="s">
        <v>2578</v>
      </c>
      <c r="B1187" s="3" t="str">
        <f>"038804136"</f>
        <v>038804136</v>
      </c>
      <c r="C1187" s="3" t="s">
        <v>2575</v>
      </c>
      <c r="D1187" s="3" t="s">
        <v>2579</v>
      </c>
      <c r="E1187" s="3" t="s">
        <v>56</v>
      </c>
      <c r="F1187" s="2">
        <v>44104</v>
      </c>
      <c r="G1187" s="2">
        <v>44195</v>
      </c>
      <c r="H1187" s="1912" t="s">
        <v>17</v>
      </c>
      <c r="I1187" s="3" t="s">
        <v>41</v>
      </c>
      <c r="J1187" s="3" t="s">
        <v>19</v>
      </c>
      <c r="K1187" s="3"/>
    </row>
    <row r="1188" spans="1:11" ht="43.2" x14ac:dyDescent="0.3">
      <c r="A1188" s="3" t="s">
        <v>2580</v>
      </c>
      <c r="B1188" s="3" t="str">
        <f>"023540038"</f>
        <v>023540038</v>
      </c>
      <c r="C1188" s="3" t="s">
        <v>2581</v>
      </c>
      <c r="D1188" s="3" t="s">
        <v>2582</v>
      </c>
      <c r="E1188" s="3" t="s">
        <v>2080</v>
      </c>
      <c r="F1188" s="2">
        <v>44075</v>
      </c>
      <c r="G1188" s="2"/>
      <c r="H1188" s="1913" t="s">
        <v>37</v>
      </c>
      <c r="I1188" s="1914" t="s">
        <v>18</v>
      </c>
      <c r="J1188" s="3" t="s">
        <v>19</v>
      </c>
      <c r="K1188" s="3"/>
    </row>
    <row r="1189" spans="1:11" ht="43.2" x14ac:dyDescent="0.3">
      <c r="A1189" s="3" t="s">
        <v>2583</v>
      </c>
      <c r="B1189" s="3" t="str">
        <f>"025764022"</f>
        <v>025764022</v>
      </c>
      <c r="C1189" s="3" t="s">
        <v>2584</v>
      </c>
      <c r="D1189" s="3" t="s">
        <v>2585</v>
      </c>
      <c r="E1189" s="3" t="s">
        <v>2586</v>
      </c>
      <c r="F1189" s="2">
        <v>42493</v>
      </c>
      <c r="G1189" s="2"/>
      <c r="H1189" s="1915" t="s">
        <v>37</v>
      </c>
      <c r="I1189" s="3" t="s">
        <v>41</v>
      </c>
      <c r="J1189" s="3" t="s">
        <v>19</v>
      </c>
      <c r="K1189" s="3"/>
    </row>
    <row r="1190" spans="1:11" ht="57.6" x14ac:dyDescent="0.3">
      <c r="A1190" s="3" t="s">
        <v>2587</v>
      </c>
      <c r="B1190" s="3" t="str">
        <f>"027850104"</f>
        <v>027850104</v>
      </c>
      <c r="C1190" s="3" t="s">
        <v>993</v>
      </c>
      <c r="D1190" s="3" t="s">
        <v>2588</v>
      </c>
      <c r="E1190" s="3" t="s">
        <v>850</v>
      </c>
      <c r="F1190" s="2">
        <v>44197</v>
      </c>
      <c r="G1190" s="2"/>
      <c r="H1190" s="1916" t="s">
        <v>37</v>
      </c>
      <c r="I1190" s="1917" t="s">
        <v>32</v>
      </c>
      <c r="J1190" s="3" t="s">
        <v>156</v>
      </c>
      <c r="K1190" s="3"/>
    </row>
    <row r="1191" spans="1:11" ht="57.6" x14ac:dyDescent="0.3">
      <c r="A1191" s="3" t="s">
        <v>2587</v>
      </c>
      <c r="B1191" s="3" t="str">
        <f>"027850142"</f>
        <v>027850142</v>
      </c>
      <c r="C1191" s="3" t="s">
        <v>993</v>
      </c>
      <c r="D1191" s="3" t="s">
        <v>994</v>
      </c>
      <c r="E1191" s="3" t="s">
        <v>850</v>
      </c>
      <c r="F1191" s="2">
        <v>44197</v>
      </c>
      <c r="G1191" s="2"/>
      <c r="H1191" s="1918" t="s">
        <v>37</v>
      </c>
      <c r="I1191" s="1919" t="s">
        <v>32</v>
      </c>
      <c r="J1191" s="3" t="s">
        <v>156</v>
      </c>
      <c r="K1191" s="3"/>
    </row>
    <row r="1192" spans="1:11" ht="43.2" x14ac:dyDescent="0.3">
      <c r="A1192" s="3" t="s">
        <v>2589</v>
      </c>
      <c r="B1192" s="3" t="str">
        <f>"037551025"</f>
        <v>037551025</v>
      </c>
      <c r="C1192" s="3" t="s">
        <v>2590</v>
      </c>
      <c r="D1192" s="3" t="s">
        <v>2591</v>
      </c>
      <c r="E1192" s="3" t="s">
        <v>207</v>
      </c>
      <c r="F1192" s="2">
        <v>43922</v>
      </c>
      <c r="G1192" s="2">
        <v>43931</v>
      </c>
      <c r="H1192" s="1920" t="s">
        <v>17</v>
      </c>
      <c r="I1192" s="3" t="s">
        <v>41</v>
      </c>
      <c r="J1192" s="3" t="s">
        <v>19</v>
      </c>
      <c r="K1192" s="3"/>
    </row>
    <row r="1193" spans="1:11" ht="43.2" x14ac:dyDescent="0.3">
      <c r="A1193" s="3" t="s">
        <v>2589</v>
      </c>
      <c r="B1193" s="3" t="str">
        <f>"037551076"</f>
        <v>037551076</v>
      </c>
      <c r="C1193" s="3" t="s">
        <v>2590</v>
      </c>
      <c r="D1193" s="3" t="s">
        <v>2592</v>
      </c>
      <c r="E1193" s="3" t="s">
        <v>207</v>
      </c>
      <c r="F1193" s="2">
        <v>43903</v>
      </c>
      <c r="G1193" s="2">
        <v>43931</v>
      </c>
      <c r="H1193" s="1921" t="s">
        <v>17</v>
      </c>
      <c r="I1193" s="3" t="s">
        <v>41</v>
      </c>
      <c r="J1193" s="3" t="s">
        <v>19</v>
      </c>
      <c r="K1193" s="3"/>
    </row>
    <row r="1194" spans="1:11" ht="43.2" x14ac:dyDescent="0.3">
      <c r="A1194" s="3" t="s">
        <v>2593</v>
      </c>
      <c r="B1194" s="3" t="str">
        <f>"036258010"</f>
        <v>036258010</v>
      </c>
      <c r="C1194" s="3" t="s">
        <v>2584</v>
      </c>
      <c r="D1194" s="3" t="s">
        <v>2594</v>
      </c>
      <c r="E1194" s="3" t="s">
        <v>56</v>
      </c>
      <c r="F1194" s="2">
        <v>44166</v>
      </c>
      <c r="G1194" s="2"/>
      <c r="H1194" s="1922" t="s">
        <v>17</v>
      </c>
      <c r="I1194" s="1923" t="s">
        <v>18</v>
      </c>
      <c r="J1194" s="3" t="s">
        <v>19</v>
      </c>
      <c r="K1194" s="3"/>
    </row>
    <row r="1195" spans="1:11" ht="43.2" x14ac:dyDescent="0.3">
      <c r="A1195" s="3" t="s">
        <v>2593</v>
      </c>
      <c r="B1195" s="3" t="str">
        <f>"036258022"</f>
        <v>036258022</v>
      </c>
      <c r="C1195" s="3" t="s">
        <v>2584</v>
      </c>
      <c r="D1195" s="3" t="s">
        <v>2595</v>
      </c>
      <c r="E1195" s="3" t="s">
        <v>56</v>
      </c>
      <c r="F1195" s="2">
        <v>44562</v>
      </c>
      <c r="G1195" s="2"/>
      <c r="H1195" s="1924" t="s">
        <v>17</v>
      </c>
      <c r="I1195" s="1925" t="s">
        <v>18</v>
      </c>
      <c r="J1195" s="3" t="s">
        <v>19</v>
      </c>
      <c r="K1195" s="3"/>
    </row>
    <row r="1196" spans="1:11" ht="43.2" x14ac:dyDescent="0.3">
      <c r="A1196" s="3" t="s">
        <v>2593</v>
      </c>
      <c r="B1196" s="3" t="str">
        <f>"036258034"</f>
        <v>036258034</v>
      </c>
      <c r="C1196" s="3" t="s">
        <v>2584</v>
      </c>
      <c r="D1196" s="3" t="s">
        <v>2596</v>
      </c>
      <c r="E1196" s="3" t="s">
        <v>56</v>
      </c>
      <c r="F1196" s="2">
        <v>44593</v>
      </c>
      <c r="G1196" s="2"/>
      <c r="H1196" s="1926" t="s">
        <v>17</v>
      </c>
      <c r="I1196" s="1927" t="s">
        <v>18</v>
      </c>
      <c r="J1196" s="3" t="s">
        <v>19</v>
      </c>
      <c r="K1196" s="3"/>
    </row>
    <row r="1197" spans="1:11" ht="43.2" x14ac:dyDescent="0.3">
      <c r="A1197" s="3" t="s">
        <v>2597</v>
      </c>
      <c r="B1197" s="3" t="str">
        <f>"036786010"</f>
        <v>036786010</v>
      </c>
      <c r="C1197" s="3" t="s">
        <v>2598</v>
      </c>
      <c r="D1197" s="3" t="s">
        <v>2599</v>
      </c>
      <c r="E1197" s="3" t="s">
        <v>878</v>
      </c>
      <c r="F1197" s="2">
        <v>43374</v>
      </c>
      <c r="G1197" s="2">
        <v>43922</v>
      </c>
      <c r="H1197" s="1928" t="s">
        <v>17</v>
      </c>
      <c r="I1197" s="3" t="s">
        <v>41</v>
      </c>
      <c r="J1197" s="3" t="s">
        <v>19</v>
      </c>
      <c r="K1197" s="3"/>
    </row>
    <row r="1198" spans="1:11" ht="57.6" x14ac:dyDescent="0.3">
      <c r="A1198" s="3" t="s">
        <v>2600</v>
      </c>
      <c r="B1198" s="3" t="str">
        <f>"045428036"</f>
        <v>045428036</v>
      </c>
      <c r="C1198" s="3" t="s">
        <v>2601</v>
      </c>
      <c r="D1198" s="3" t="s">
        <v>2602</v>
      </c>
      <c r="E1198" s="3" t="s">
        <v>16</v>
      </c>
      <c r="F1198" s="2">
        <v>44012</v>
      </c>
      <c r="G1198" s="2">
        <v>44227</v>
      </c>
      <c r="H1198" s="1929" t="s">
        <v>17</v>
      </c>
      <c r="I1198" s="3" t="s">
        <v>41</v>
      </c>
      <c r="J1198" s="3" t="s">
        <v>19</v>
      </c>
      <c r="K1198" s="3"/>
    </row>
    <row r="1199" spans="1:11" ht="57.6" x14ac:dyDescent="0.3">
      <c r="A1199" s="3" t="s">
        <v>2600</v>
      </c>
      <c r="B1199" s="3" t="str">
        <f>"045428101"</f>
        <v>045428101</v>
      </c>
      <c r="C1199" s="3" t="s">
        <v>2601</v>
      </c>
      <c r="D1199" s="3" t="s">
        <v>2603</v>
      </c>
      <c r="E1199" s="3" t="s">
        <v>16</v>
      </c>
      <c r="F1199" s="2">
        <v>44129</v>
      </c>
      <c r="G1199" s="2">
        <v>44227</v>
      </c>
      <c r="H1199" s="1930" t="s">
        <v>17</v>
      </c>
      <c r="I1199" s="3" t="s">
        <v>41</v>
      </c>
      <c r="J1199" s="3" t="s">
        <v>19</v>
      </c>
      <c r="K1199" s="3"/>
    </row>
    <row r="1200" spans="1:11" ht="43.2" x14ac:dyDescent="0.3">
      <c r="A1200" s="3" t="s">
        <v>2604</v>
      </c>
      <c r="B1200" s="3" t="str">
        <f>"044775029"</f>
        <v>044775029</v>
      </c>
      <c r="C1200" s="3" t="s">
        <v>2605</v>
      </c>
      <c r="D1200" s="3" t="s">
        <v>2606</v>
      </c>
      <c r="E1200" s="3" t="s">
        <v>83</v>
      </c>
      <c r="F1200" s="2">
        <v>44135</v>
      </c>
      <c r="G1200" s="2"/>
      <c r="H1200" s="1931" t="s">
        <v>17</v>
      </c>
      <c r="I1200" s="3" t="s">
        <v>41</v>
      </c>
      <c r="J1200" s="3" t="s">
        <v>19</v>
      </c>
      <c r="K1200" s="3"/>
    </row>
    <row r="1201" spans="1:11" ht="43.2" x14ac:dyDescent="0.3">
      <c r="A1201" s="3" t="s">
        <v>2607</v>
      </c>
      <c r="B1201" s="3" t="str">
        <f>"041807013"</f>
        <v>041807013</v>
      </c>
      <c r="C1201" s="3" t="s">
        <v>2608</v>
      </c>
      <c r="D1201" s="3" t="s">
        <v>2609</v>
      </c>
      <c r="E1201" s="3" t="s">
        <v>2610</v>
      </c>
      <c r="F1201" s="2">
        <v>43101</v>
      </c>
      <c r="G1201" s="2"/>
      <c r="H1201" s="1932" t="s">
        <v>37</v>
      </c>
      <c r="I1201" s="3" t="s">
        <v>41</v>
      </c>
      <c r="J1201" s="3" t="s">
        <v>19</v>
      </c>
      <c r="K1201" s="3"/>
    </row>
    <row r="1202" spans="1:11" ht="57.6" x14ac:dyDescent="0.3">
      <c r="A1202" s="3" t="s">
        <v>2611</v>
      </c>
      <c r="B1202" s="3" t="str">
        <f>"019311012"</f>
        <v>019311012</v>
      </c>
      <c r="C1202" s="3" t="s">
        <v>2612</v>
      </c>
      <c r="D1202" s="3" t="s">
        <v>2613</v>
      </c>
      <c r="E1202" s="3" t="s">
        <v>1666</v>
      </c>
      <c r="F1202" s="2">
        <v>43955</v>
      </c>
      <c r="G1202" s="2">
        <v>44501</v>
      </c>
      <c r="H1202" s="1933" t="s">
        <v>17</v>
      </c>
      <c r="I1202" s="3" t="s">
        <v>41</v>
      </c>
      <c r="J1202" s="3" t="s">
        <v>156</v>
      </c>
      <c r="K1202" s="3"/>
    </row>
    <row r="1203" spans="1:11" ht="43.2" x14ac:dyDescent="0.3">
      <c r="A1203" s="3" t="s">
        <v>2611</v>
      </c>
      <c r="B1203" s="3" t="str">
        <f>"019311024"</f>
        <v>019311024</v>
      </c>
      <c r="C1203" s="3" t="s">
        <v>2612</v>
      </c>
      <c r="D1203" s="3" t="s">
        <v>2614</v>
      </c>
      <c r="E1203" s="3" t="s">
        <v>1666</v>
      </c>
      <c r="F1203" s="2">
        <v>43983</v>
      </c>
      <c r="G1203" s="2">
        <v>44531</v>
      </c>
      <c r="H1203" s="1934" t="s">
        <v>17</v>
      </c>
      <c r="I1203" s="3" t="s">
        <v>41</v>
      </c>
      <c r="J1203" s="3" t="s">
        <v>19</v>
      </c>
      <c r="K1203" s="3"/>
    </row>
    <row r="1204" spans="1:11" ht="43.2" x14ac:dyDescent="0.3">
      <c r="A1204" s="3" t="s">
        <v>2615</v>
      </c>
      <c r="B1204" s="3" t="str">
        <f>"036276020"</f>
        <v>036276020</v>
      </c>
      <c r="C1204" s="3" t="s">
        <v>2616</v>
      </c>
      <c r="D1204" s="3" t="s">
        <v>2617</v>
      </c>
      <c r="E1204" s="3" t="s">
        <v>126</v>
      </c>
      <c r="F1204" s="2">
        <v>43537</v>
      </c>
      <c r="G1204" s="2"/>
      <c r="H1204" s="1935" t="s">
        <v>17</v>
      </c>
      <c r="I1204" s="1936" t="s">
        <v>32</v>
      </c>
      <c r="J1204" s="3" t="s">
        <v>19</v>
      </c>
      <c r="K1204" s="3"/>
    </row>
    <row r="1205" spans="1:11" ht="43.2" x14ac:dyDescent="0.3">
      <c r="A1205" s="3" t="s">
        <v>2618</v>
      </c>
      <c r="B1205" s="3" t="str">
        <f>"033263017"</f>
        <v>033263017</v>
      </c>
      <c r="C1205" s="3" t="s">
        <v>487</v>
      </c>
      <c r="D1205" s="3" t="s">
        <v>488</v>
      </c>
      <c r="E1205" s="3" t="s">
        <v>489</v>
      </c>
      <c r="F1205" s="2">
        <v>44124</v>
      </c>
      <c r="G1205" s="2"/>
      <c r="H1205" s="1937" t="s">
        <v>17</v>
      </c>
      <c r="I1205" s="3" t="s">
        <v>41</v>
      </c>
      <c r="J1205" s="3" t="s">
        <v>19</v>
      </c>
      <c r="K1205" s="3"/>
    </row>
    <row r="1206" spans="1:11" ht="57.6" x14ac:dyDescent="0.3">
      <c r="A1206" s="3" t="s">
        <v>2619</v>
      </c>
      <c r="B1206" s="3" t="str">
        <f>"003820014"</f>
        <v>003820014</v>
      </c>
      <c r="C1206" s="3" t="s">
        <v>2620</v>
      </c>
      <c r="D1206" s="3" t="s">
        <v>2621</v>
      </c>
      <c r="E1206" s="3" t="s">
        <v>835</v>
      </c>
      <c r="F1206" s="2">
        <v>43799</v>
      </c>
      <c r="G1206" s="2"/>
      <c r="H1206" s="1938" t="s">
        <v>37</v>
      </c>
      <c r="I1206" s="1939" t="s">
        <v>18</v>
      </c>
      <c r="J1206" s="3" t="s">
        <v>19</v>
      </c>
      <c r="K1206" s="3"/>
    </row>
    <row r="1207" spans="1:11" ht="43.2" x14ac:dyDescent="0.3">
      <c r="A1207" s="3" t="s">
        <v>2619</v>
      </c>
      <c r="B1207" s="3" t="str">
        <f>"003820038"</f>
        <v>003820038</v>
      </c>
      <c r="C1207" s="3" t="s">
        <v>2620</v>
      </c>
      <c r="D1207" s="3" t="s">
        <v>2622</v>
      </c>
      <c r="E1207" s="3" t="s">
        <v>835</v>
      </c>
      <c r="F1207" s="2">
        <v>44196</v>
      </c>
      <c r="G1207" s="2"/>
      <c r="H1207" s="1940" t="s">
        <v>37</v>
      </c>
      <c r="I1207" s="1941" t="s">
        <v>18</v>
      </c>
      <c r="J1207" s="3" t="s">
        <v>19</v>
      </c>
      <c r="K1207" s="3"/>
    </row>
    <row r="1208" spans="1:11" ht="43.2" x14ac:dyDescent="0.3">
      <c r="A1208" s="3" t="s">
        <v>2623</v>
      </c>
      <c r="B1208" s="3" t="str">
        <f>"013972056"</f>
        <v>013972056</v>
      </c>
      <c r="C1208" s="3" t="s">
        <v>189</v>
      </c>
      <c r="D1208" s="3" t="s">
        <v>2624</v>
      </c>
      <c r="E1208" s="3" t="s">
        <v>2625</v>
      </c>
      <c r="F1208" s="2">
        <v>43922</v>
      </c>
      <c r="G1208" s="2">
        <v>43981</v>
      </c>
      <c r="H1208" s="1942" t="s">
        <v>17</v>
      </c>
      <c r="I1208" s="3" t="s">
        <v>41</v>
      </c>
      <c r="J1208" s="3" t="s">
        <v>19</v>
      </c>
      <c r="K1208" s="3"/>
    </row>
    <row r="1209" spans="1:11" ht="57.6" x14ac:dyDescent="0.3">
      <c r="A1209" s="3" t="s">
        <v>2626</v>
      </c>
      <c r="B1209" s="3" t="str">
        <f>"035039282"</f>
        <v>035039282</v>
      </c>
      <c r="C1209" s="3" t="s">
        <v>2627</v>
      </c>
      <c r="D1209" s="3" t="s">
        <v>2628</v>
      </c>
      <c r="E1209" s="3" t="s">
        <v>2629</v>
      </c>
      <c r="F1209" s="2">
        <v>41719</v>
      </c>
      <c r="G1209" s="2"/>
      <c r="H1209" s="1943" t="s">
        <v>17</v>
      </c>
      <c r="I1209" s="1944" t="s">
        <v>18</v>
      </c>
      <c r="J1209" s="3" t="s">
        <v>19</v>
      </c>
      <c r="K1209" s="3"/>
    </row>
    <row r="1210" spans="1:11" ht="43.2" x14ac:dyDescent="0.3">
      <c r="A1210" s="3" t="s">
        <v>2630</v>
      </c>
      <c r="B1210" s="3" t="str">
        <f>"034846016"</f>
        <v>034846016</v>
      </c>
      <c r="C1210" s="3" t="s">
        <v>2631</v>
      </c>
      <c r="D1210" s="3" t="s">
        <v>2632</v>
      </c>
      <c r="E1210" s="3" t="s">
        <v>207</v>
      </c>
      <c r="F1210" s="2">
        <v>43454</v>
      </c>
      <c r="G1210" s="2"/>
      <c r="H1210" s="1945" t="s">
        <v>37</v>
      </c>
      <c r="I1210" s="1946" t="s">
        <v>18</v>
      </c>
      <c r="J1210" s="3" t="s">
        <v>19</v>
      </c>
      <c r="K1210" s="3"/>
    </row>
    <row r="1211" spans="1:11" ht="43.2" x14ac:dyDescent="0.3">
      <c r="A1211" s="3" t="s">
        <v>2633</v>
      </c>
      <c r="B1211" s="3" t="str">
        <f>"035326014"</f>
        <v>035326014</v>
      </c>
      <c r="C1211" s="3" t="s">
        <v>2634</v>
      </c>
      <c r="D1211" s="3" t="s">
        <v>2635</v>
      </c>
      <c r="E1211" s="3" t="s">
        <v>2636</v>
      </c>
      <c r="F1211" s="2">
        <v>43040</v>
      </c>
      <c r="G1211" s="2"/>
      <c r="H1211" s="1947" t="s">
        <v>37</v>
      </c>
      <c r="I1211" s="1948" t="s">
        <v>18</v>
      </c>
      <c r="J1211" s="3" t="s">
        <v>19</v>
      </c>
      <c r="K1211" s="3"/>
    </row>
    <row r="1212" spans="1:11" ht="43.2" x14ac:dyDescent="0.3">
      <c r="A1212" s="3" t="s">
        <v>2637</v>
      </c>
      <c r="B1212" s="3" t="str">
        <f>"037466012"</f>
        <v>037466012</v>
      </c>
      <c r="C1212" s="3" t="s">
        <v>2638</v>
      </c>
      <c r="D1212" s="3" t="s">
        <v>2639</v>
      </c>
      <c r="E1212" s="3" t="s">
        <v>2640</v>
      </c>
      <c r="F1212" s="2">
        <v>42613</v>
      </c>
      <c r="G1212" s="2"/>
      <c r="H1212" s="1949" t="s">
        <v>17</v>
      </c>
      <c r="I1212" s="1950" t="s">
        <v>18</v>
      </c>
      <c r="J1212" s="3" t="s">
        <v>19</v>
      </c>
      <c r="K1212" s="3"/>
    </row>
    <row r="1213" spans="1:11" ht="43.2" x14ac:dyDescent="0.3">
      <c r="A1213" s="3" t="s">
        <v>2637</v>
      </c>
      <c r="B1213" s="3" t="str">
        <f>"037466024"</f>
        <v>037466024</v>
      </c>
      <c r="C1213" s="3" t="s">
        <v>2638</v>
      </c>
      <c r="D1213" s="3" t="s">
        <v>2641</v>
      </c>
      <c r="E1213" s="3" t="s">
        <v>2640</v>
      </c>
      <c r="F1213" s="2">
        <v>42555</v>
      </c>
      <c r="G1213" s="2"/>
      <c r="H1213" s="1951" t="s">
        <v>17</v>
      </c>
      <c r="I1213" s="1952" t="s">
        <v>18</v>
      </c>
      <c r="J1213" s="3" t="s">
        <v>19</v>
      </c>
      <c r="K1213" s="3"/>
    </row>
    <row r="1214" spans="1:11" ht="43.2" x14ac:dyDescent="0.3">
      <c r="A1214" s="3" t="s">
        <v>2642</v>
      </c>
      <c r="B1214" s="3" t="str">
        <f>"037849027"</f>
        <v>037849027</v>
      </c>
      <c r="C1214" s="3" t="s">
        <v>2643</v>
      </c>
      <c r="D1214" s="3" t="s">
        <v>2644</v>
      </c>
      <c r="E1214" s="3" t="s">
        <v>24</v>
      </c>
      <c r="F1214" s="2">
        <v>41954</v>
      </c>
      <c r="G1214" s="2"/>
      <c r="H1214" s="1953" t="s">
        <v>17</v>
      </c>
      <c r="I1214" s="1954" t="s">
        <v>18</v>
      </c>
      <c r="J1214" s="3" t="s">
        <v>19</v>
      </c>
      <c r="K1214" s="3"/>
    </row>
    <row r="1215" spans="1:11" ht="43.2" x14ac:dyDescent="0.3">
      <c r="A1215" s="3" t="s">
        <v>2645</v>
      </c>
      <c r="B1215" s="3" t="str">
        <f>"037745027"</f>
        <v>037745027</v>
      </c>
      <c r="C1215" s="3" t="s">
        <v>2643</v>
      </c>
      <c r="D1215" s="3" t="s">
        <v>2646</v>
      </c>
      <c r="E1215" s="3" t="s">
        <v>263</v>
      </c>
      <c r="F1215" s="2">
        <v>40751</v>
      </c>
      <c r="G1215" s="2"/>
      <c r="H1215" s="1955" t="s">
        <v>17</v>
      </c>
      <c r="I1215" s="1956" t="s">
        <v>18</v>
      </c>
      <c r="J1215" s="3" t="s">
        <v>19</v>
      </c>
      <c r="K1215" s="3"/>
    </row>
    <row r="1216" spans="1:11" ht="43.2" x14ac:dyDescent="0.3">
      <c r="A1216" s="3" t="s">
        <v>2647</v>
      </c>
      <c r="B1216" s="3" t="str">
        <f>"038333011"</f>
        <v>038333011</v>
      </c>
      <c r="C1216" s="3" t="s">
        <v>2643</v>
      </c>
      <c r="D1216" s="3" t="s">
        <v>2644</v>
      </c>
      <c r="E1216" s="3" t="s">
        <v>107</v>
      </c>
      <c r="F1216" s="2">
        <v>43552</v>
      </c>
      <c r="G1216" s="2"/>
      <c r="H1216" s="1957" t="s">
        <v>17</v>
      </c>
      <c r="I1216" s="1958" t="s">
        <v>18</v>
      </c>
      <c r="J1216" s="3" t="s">
        <v>19</v>
      </c>
      <c r="K1216" s="3"/>
    </row>
    <row r="1217" spans="1:11" ht="72" x14ac:dyDescent="0.3">
      <c r="A1217" s="3" t="s">
        <v>2648</v>
      </c>
      <c r="B1217" s="3" t="str">
        <f>"044386011"</f>
        <v>044386011</v>
      </c>
      <c r="C1217" s="3" t="s">
        <v>2649</v>
      </c>
      <c r="D1217" s="3" t="s">
        <v>2650</v>
      </c>
      <c r="E1217" s="3" t="s">
        <v>182</v>
      </c>
      <c r="F1217" s="2">
        <v>43283</v>
      </c>
      <c r="G1217" s="2"/>
      <c r="H1217" s="1959" t="s">
        <v>37</v>
      </c>
      <c r="I1217" s="1960" t="s">
        <v>18</v>
      </c>
      <c r="J1217" s="3" t="s">
        <v>19</v>
      </c>
      <c r="K1217" s="3"/>
    </row>
    <row r="1218" spans="1:11" ht="57.6" x14ac:dyDescent="0.3">
      <c r="A1218" s="3" t="s">
        <v>2651</v>
      </c>
      <c r="B1218" s="3" t="str">
        <f>"037107012"</f>
        <v>037107012</v>
      </c>
      <c r="C1218" s="3" t="s">
        <v>1342</v>
      </c>
      <c r="D1218" s="3" t="s">
        <v>2652</v>
      </c>
      <c r="E1218" s="3" t="s">
        <v>2653</v>
      </c>
      <c r="F1218" s="2">
        <v>43565</v>
      </c>
      <c r="G1218" s="2">
        <v>44561</v>
      </c>
      <c r="H1218" s="1961" t="s">
        <v>37</v>
      </c>
      <c r="I1218" s="3" t="s">
        <v>1344</v>
      </c>
      <c r="J1218" s="3" t="s">
        <v>19</v>
      </c>
      <c r="K1218" s="3"/>
    </row>
    <row r="1219" spans="1:11" ht="57.6" x14ac:dyDescent="0.3">
      <c r="A1219" s="3" t="s">
        <v>2651</v>
      </c>
      <c r="B1219" s="3" t="str">
        <f>"037107024"</f>
        <v>037107024</v>
      </c>
      <c r="C1219" s="3" t="s">
        <v>1342</v>
      </c>
      <c r="D1219" s="3" t="s">
        <v>2654</v>
      </c>
      <c r="E1219" s="3" t="s">
        <v>2653</v>
      </c>
      <c r="F1219" s="2">
        <v>43565</v>
      </c>
      <c r="G1219" s="2">
        <v>44561</v>
      </c>
      <c r="H1219" s="1962" t="s">
        <v>17</v>
      </c>
      <c r="I1219" s="3" t="s">
        <v>1344</v>
      </c>
      <c r="J1219" s="3" t="s">
        <v>19</v>
      </c>
      <c r="K1219" s="3"/>
    </row>
    <row r="1220" spans="1:11" ht="57.6" x14ac:dyDescent="0.3">
      <c r="A1220" s="3" t="s">
        <v>2651</v>
      </c>
      <c r="B1220" s="3" t="str">
        <f>"037107036"</f>
        <v>037107036</v>
      </c>
      <c r="C1220" s="3" t="s">
        <v>1342</v>
      </c>
      <c r="D1220" s="3" t="s">
        <v>2655</v>
      </c>
      <c r="E1220" s="3" t="s">
        <v>2653</v>
      </c>
      <c r="F1220" s="2">
        <v>43565</v>
      </c>
      <c r="G1220" s="2">
        <v>44561</v>
      </c>
      <c r="H1220" s="1963" t="s">
        <v>17</v>
      </c>
      <c r="I1220" s="3" t="s">
        <v>1344</v>
      </c>
      <c r="J1220" s="3" t="s">
        <v>19</v>
      </c>
      <c r="K1220" s="3"/>
    </row>
    <row r="1221" spans="1:11" ht="57.6" x14ac:dyDescent="0.3">
      <c r="A1221" s="3" t="s">
        <v>2651</v>
      </c>
      <c r="B1221" s="3" t="str">
        <f>"037107048"</f>
        <v>037107048</v>
      </c>
      <c r="C1221" s="3" t="s">
        <v>1342</v>
      </c>
      <c r="D1221" s="3" t="s">
        <v>2656</v>
      </c>
      <c r="E1221" s="3" t="s">
        <v>2653</v>
      </c>
      <c r="F1221" s="2">
        <v>43565</v>
      </c>
      <c r="G1221" s="2">
        <v>44561</v>
      </c>
      <c r="H1221" s="1964" t="s">
        <v>17</v>
      </c>
      <c r="I1221" s="3" t="s">
        <v>1344</v>
      </c>
      <c r="J1221" s="3" t="s">
        <v>19</v>
      </c>
      <c r="K1221" s="3"/>
    </row>
    <row r="1222" spans="1:11" ht="57.6" x14ac:dyDescent="0.3">
      <c r="A1222" s="3" t="s">
        <v>2651</v>
      </c>
      <c r="B1222" s="3" t="str">
        <f>"037107051"</f>
        <v>037107051</v>
      </c>
      <c r="C1222" s="3" t="s">
        <v>1342</v>
      </c>
      <c r="D1222" s="3" t="s">
        <v>2657</v>
      </c>
      <c r="E1222" s="3" t="s">
        <v>2653</v>
      </c>
      <c r="F1222" s="2">
        <v>43565</v>
      </c>
      <c r="G1222" s="2">
        <v>44561</v>
      </c>
      <c r="H1222" s="1965" t="s">
        <v>17</v>
      </c>
      <c r="I1222" s="3" t="s">
        <v>1344</v>
      </c>
      <c r="J1222" s="3" t="s">
        <v>19</v>
      </c>
      <c r="K1222" s="3"/>
    </row>
    <row r="1223" spans="1:11" ht="57.6" x14ac:dyDescent="0.3">
      <c r="A1223" s="3" t="s">
        <v>2651</v>
      </c>
      <c r="B1223" s="3" t="str">
        <f>"037107063"</f>
        <v>037107063</v>
      </c>
      <c r="C1223" s="3" t="s">
        <v>1342</v>
      </c>
      <c r="D1223" s="3" t="s">
        <v>2658</v>
      </c>
      <c r="E1223" s="3" t="s">
        <v>2653</v>
      </c>
      <c r="F1223" s="2">
        <v>43565</v>
      </c>
      <c r="G1223" s="2">
        <v>44561</v>
      </c>
      <c r="H1223" s="1966" t="s">
        <v>37</v>
      </c>
      <c r="I1223" s="3" t="s">
        <v>1344</v>
      </c>
      <c r="J1223" s="3" t="s">
        <v>19</v>
      </c>
      <c r="K1223" s="3"/>
    </row>
    <row r="1224" spans="1:11" ht="57.6" x14ac:dyDescent="0.3">
      <c r="A1224" s="3" t="s">
        <v>2659</v>
      </c>
      <c r="B1224" s="3" t="str">
        <f>"045050010"</f>
        <v>045050010</v>
      </c>
      <c r="C1224" s="3" t="s">
        <v>2660</v>
      </c>
      <c r="D1224" s="3" t="s">
        <v>2661</v>
      </c>
      <c r="E1224" s="3" t="s">
        <v>31</v>
      </c>
      <c r="F1224" s="2">
        <v>43932</v>
      </c>
      <c r="G1224" s="2"/>
      <c r="H1224" s="1967" t="s">
        <v>17</v>
      </c>
      <c r="I1224" s="1968" t="s">
        <v>18</v>
      </c>
      <c r="J1224" s="3" t="s">
        <v>19</v>
      </c>
      <c r="K1224" s="3"/>
    </row>
    <row r="1225" spans="1:11" ht="57.6" x14ac:dyDescent="0.3">
      <c r="A1225" s="3" t="s">
        <v>2659</v>
      </c>
      <c r="B1225" s="3" t="str">
        <f>"045050022"</f>
        <v>045050022</v>
      </c>
      <c r="C1225" s="3" t="s">
        <v>2660</v>
      </c>
      <c r="D1225" s="3" t="s">
        <v>2662</v>
      </c>
      <c r="E1225" s="3" t="s">
        <v>31</v>
      </c>
      <c r="F1225" s="2">
        <v>43932</v>
      </c>
      <c r="G1225" s="2"/>
      <c r="H1225" s="1969" t="s">
        <v>17</v>
      </c>
      <c r="I1225" s="1970" t="s">
        <v>18</v>
      </c>
      <c r="J1225" s="3" t="s">
        <v>19</v>
      </c>
      <c r="K1225" s="3"/>
    </row>
    <row r="1226" spans="1:11" ht="72" x14ac:dyDescent="0.3">
      <c r="A1226" s="3" t="s">
        <v>2663</v>
      </c>
      <c r="B1226" s="3" t="str">
        <f>"034955043"</f>
        <v>034955043</v>
      </c>
      <c r="C1226" s="3" t="s">
        <v>2664</v>
      </c>
      <c r="D1226" s="3" t="s">
        <v>2665</v>
      </c>
      <c r="E1226" s="3" t="s">
        <v>1255</v>
      </c>
      <c r="F1226" s="2">
        <v>43830</v>
      </c>
      <c r="G1226" s="2"/>
      <c r="H1226" s="1971" t="s">
        <v>17</v>
      </c>
      <c r="I1226" s="1972" t="s">
        <v>18</v>
      </c>
      <c r="J1226" s="3" t="s">
        <v>19</v>
      </c>
      <c r="K1226" s="3"/>
    </row>
    <row r="1227" spans="1:11" ht="72" x14ac:dyDescent="0.3">
      <c r="A1227" s="3" t="s">
        <v>2663</v>
      </c>
      <c r="B1227" s="3" t="str">
        <f>"034955056"</f>
        <v>034955056</v>
      </c>
      <c r="C1227" s="3" t="s">
        <v>2664</v>
      </c>
      <c r="D1227" s="3" t="s">
        <v>2666</v>
      </c>
      <c r="E1227" s="3" t="s">
        <v>1255</v>
      </c>
      <c r="F1227" s="2">
        <v>43830</v>
      </c>
      <c r="G1227" s="2"/>
      <c r="H1227" s="1973" t="s">
        <v>17</v>
      </c>
      <c r="I1227" s="1974" t="s">
        <v>18</v>
      </c>
      <c r="J1227" s="3" t="s">
        <v>19</v>
      </c>
      <c r="K1227" s="3"/>
    </row>
    <row r="1228" spans="1:11" ht="72" x14ac:dyDescent="0.3">
      <c r="A1228" s="3" t="s">
        <v>2663</v>
      </c>
      <c r="B1228" s="3" t="str">
        <f>"034955068"</f>
        <v>034955068</v>
      </c>
      <c r="C1228" s="3" t="s">
        <v>2664</v>
      </c>
      <c r="D1228" s="3" t="s">
        <v>2667</v>
      </c>
      <c r="E1228" s="3" t="s">
        <v>1255</v>
      </c>
      <c r="F1228" s="2">
        <v>43830</v>
      </c>
      <c r="G1228" s="2"/>
      <c r="H1228" s="1975" t="s">
        <v>17</v>
      </c>
      <c r="I1228" s="1976" t="s">
        <v>18</v>
      </c>
      <c r="J1228" s="3" t="s">
        <v>19</v>
      </c>
      <c r="K1228" s="3"/>
    </row>
    <row r="1229" spans="1:11" ht="100.8" x14ac:dyDescent="0.3">
      <c r="A1229" s="3" t="s">
        <v>2663</v>
      </c>
      <c r="B1229" s="3" t="str">
        <f>"034955106"</f>
        <v>034955106</v>
      </c>
      <c r="C1229" s="3" t="s">
        <v>2664</v>
      </c>
      <c r="D1229" s="3" t="s">
        <v>2668</v>
      </c>
      <c r="E1229" s="3" t="s">
        <v>1255</v>
      </c>
      <c r="F1229" s="2">
        <v>43830</v>
      </c>
      <c r="G1229" s="2"/>
      <c r="H1229" s="1977" t="s">
        <v>17</v>
      </c>
      <c r="I1229" s="1978" t="s">
        <v>18</v>
      </c>
      <c r="J1229" s="3" t="s">
        <v>19</v>
      </c>
      <c r="K1229" s="3"/>
    </row>
    <row r="1230" spans="1:11" ht="57.6" x14ac:dyDescent="0.3">
      <c r="A1230" s="3" t="s">
        <v>2663</v>
      </c>
      <c r="B1230" s="3" t="str">
        <f>"034955120"</f>
        <v>034955120</v>
      </c>
      <c r="C1230" s="3" t="s">
        <v>2664</v>
      </c>
      <c r="D1230" s="3" t="s">
        <v>2669</v>
      </c>
      <c r="E1230" s="3" t="s">
        <v>1255</v>
      </c>
      <c r="F1230" s="2">
        <v>43830</v>
      </c>
      <c r="G1230" s="2"/>
      <c r="H1230" s="1979" t="s">
        <v>17</v>
      </c>
      <c r="I1230" s="1980" t="s">
        <v>18</v>
      </c>
      <c r="J1230" s="3" t="s">
        <v>19</v>
      </c>
      <c r="K1230" s="3"/>
    </row>
    <row r="1231" spans="1:11" ht="43.2" x14ac:dyDescent="0.3">
      <c r="A1231" s="3" t="s">
        <v>2670</v>
      </c>
      <c r="B1231" s="3" t="str">
        <f>"045246042"</f>
        <v>045246042</v>
      </c>
      <c r="C1231" s="3" t="s">
        <v>1907</v>
      </c>
      <c r="D1231" s="3" t="s">
        <v>2671</v>
      </c>
      <c r="E1231" s="3" t="s">
        <v>2672</v>
      </c>
      <c r="F1231" s="2">
        <v>44104</v>
      </c>
      <c r="G1231" s="2"/>
      <c r="H1231" s="1981" t="s">
        <v>17</v>
      </c>
      <c r="I1231" s="1982" t="s">
        <v>32</v>
      </c>
      <c r="J1231" s="3" t="s">
        <v>19</v>
      </c>
      <c r="K1231" s="3"/>
    </row>
    <row r="1232" spans="1:11" ht="43.2" x14ac:dyDescent="0.3">
      <c r="A1232" s="3" t="s">
        <v>2673</v>
      </c>
      <c r="B1232" s="3" t="str">
        <f>"036993071"</f>
        <v>036993071</v>
      </c>
      <c r="C1232" s="3" t="s">
        <v>2674</v>
      </c>
      <c r="D1232" s="3" t="s">
        <v>2675</v>
      </c>
      <c r="E1232" s="3" t="s">
        <v>425</v>
      </c>
      <c r="F1232" s="2">
        <v>41625</v>
      </c>
      <c r="G1232" s="2"/>
      <c r="H1232" s="1983" t="s">
        <v>17</v>
      </c>
      <c r="I1232" s="1984" t="s">
        <v>18</v>
      </c>
      <c r="J1232" s="3" t="s">
        <v>19</v>
      </c>
      <c r="K1232" s="3"/>
    </row>
    <row r="1233" spans="1:11" ht="43.2" x14ac:dyDescent="0.3">
      <c r="A1233" s="3" t="s">
        <v>2676</v>
      </c>
      <c r="B1233" s="3" t="str">
        <f>"028732016"</f>
        <v>028732016</v>
      </c>
      <c r="C1233" s="3" t="s">
        <v>2677</v>
      </c>
      <c r="D1233" s="3" t="s">
        <v>2678</v>
      </c>
      <c r="E1233" s="3" t="s">
        <v>126</v>
      </c>
      <c r="F1233" s="2">
        <v>43591</v>
      </c>
      <c r="G1233" s="2"/>
      <c r="H1233" s="1985" t="s">
        <v>37</v>
      </c>
      <c r="I1233" s="1986" t="s">
        <v>32</v>
      </c>
      <c r="J1233" s="3" t="s">
        <v>19</v>
      </c>
      <c r="K1233" s="3"/>
    </row>
    <row r="1234" spans="1:11" ht="57.6" x14ac:dyDescent="0.3">
      <c r="A1234" s="3" t="s">
        <v>2679</v>
      </c>
      <c r="B1234" s="3" t="str">
        <f>"028990012"</f>
        <v>028990012</v>
      </c>
      <c r="C1234" s="3" t="s">
        <v>159</v>
      </c>
      <c r="D1234" s="3" t="s">
        <v>2680</v>
      </c>
      <c r="E1234" s="3" t="s">
        <v>161</v>
      </c>
      <c r="F1234" s="2">
        <v>43784</v>
      </c>
      <c r="G1234" s="2"/>
      <c r="H1234" s="1987" t="s">
        <v>37</v>
      </c>
      <c r="I1234" s="3" t="s">
        <v>41</v>
      </c>
      <c r="J1234" s="3" t="s">
        <v>156</v>
      </c>
      <c r="K1234" s="3"/>
    </row>
    <row r="1235" spans="1:11" ht="43.2" x14ac:dyDescent="0.3">
      <c r="A1235" s="3" t="s">
        <v>2681</v>
      </c>
      <c r="B1235" s="3" t="str">
        <f>"036050134"</f>
        <v>036050134</v>
      </c>
      <c r="C1235" s="3" t="s">
        <v>2682</v>
      </c>
      <c r="D1235" s="3" t="s">
        <v>2683</v>
      </c>
      <c r="E1235" s="3" t="s">
        <v>239</v>
      </c>
      <c r="F1235" s="2">
        <v>43925</v>
      </c>
      <c r="G1235" s="2"/>
      <c r="H1235" s="1988" t="s">
        <v>37</v>
      </c>
      <c r="I1235" s="1989" t="s">
        <v>18</v>
      </c>
      <c r="J1235" s="3" t="s">
        <v>19</v>
      </c>
      <c r="K1235" s="3"/>
    </row>
    <row r="1236" spans="1:11" ht="43.2" x14ac:dyDescent="0.3">
      <c r="A1236" s="3" t="s">
        <v>2681</v>
      </c>
      <c r="B1236" s="3" t="str">
        <f>"036050185"</f>
        <v>036050185</v>
      </c>
      <c r="C1236" s="3" t="s">
        <v>2682</v>
      </c>
      <c r="D1236" s="3" t="s">
        <v>2684</v>
      </c>
      <c r="E1236" s="3" t="s">
        <v>239</v>
      </c>
      <c r="F1236" s="2">
        <v>43925</v>
      </c>
      <c r="G1236" s="2"/>
      <c r="H1236" s="1990" t="s">
        <v>37</v>
      </c>
      <c r="I1236" s="1991" t="s">
        <v>18</v>
      </c>
      <c r="J1236" s="3" t="s">
        <v>19</v>
      </c>
      <c r="K1236" s="3"/>
    </row>
    <row r="1237" spans="1:11" ht="43.2" x14ac:dyDescent="0.3">
      <c r="A1237" s="3" t="s">
        <v>2685</v>
      </c>
      <c r="B1237" s="3" t="str">
        <f>"029565025"</f>
        <v>029565025</v>
      </c>
      <c r="C1237" s="3" t="s">
        <v>1707</v>
      </c>
      <c r="D1237" s="3" t="s">
        <v>2686</v>
      </c>
      <c r="E1237" s="3" t="s">
        <v>543</v>
      </c>
      <c r="F1237" s="2">
        <v>43307</v>
      </c>
      <c r="G1237" s="2"/>
      <c r="H1237" s="1992" t="s">
        <v>37</v>
      </c>
      <c r="I1237" s="1993" t="s">
        <v>18</v>
      </c>
      <c r="J1237" s="3" t="s">
        <v>19</v>
      </c>
      <c r="K1237" s="3"/>
    </row>
    <row r="1238" spans="1:11" ht="43.2" x14ac:dyDescent="0.3">
      <c r="A1238" s="3" t="s">
        <v>2687</v>
      </c>
      <c r="B1238" s="3" t="str">
        <f>"022711117"</f>
        <v>022711117</v>
      </c>
      <c r="C1238" s="3" t="s">
        <v>1707</v>
      </c>
      <c r="D1238" s="3" t="s">
        <v>2688</v>
      </c>
      <c r="E1238" s="3" t="s">
        <v>543</v>
      </c>
      <c r="F1238" s="2">
        <v>42710</v>
      </c>
      <c r="G1238" s="2"/>
      <c r="H1238" s="1994" t="s">
        <v>37</v>
      </c>
      <c r="I1238" s="1995" t="s">
        <v>18</v>
      </c>
      <c r="J1238" s="3" t="s">
        <v>19</v>
      </c>
      <c r="K1238" s="3"/>
    </row>
    <row r="1239" spans="1:11" ht="57.6" x14ac:dyDescent="0.3">
      <c r="A1239" s="3" t="s">
        <v>2689</v>
      </c>
      <c r="B1239" s="3" t="str">
        <f>"027807066"</f>
        <v>027807066</v>
      </c>
      <c r="C1239" s="3" t="s">
        <v>2690</v>
      </c>
      <c r="D1239" s="3" t="s">
        <v>2691</v>
      </c>
      <c r="E1239" s="3" t="s">
        <v>604</v>
      </c>
      <c r="F1239" s="2">
        <v>44075</v>
      </c>
      <c r="G1239" s="2"/>
      <c r="H1239" s="1996" t="s">
        <v>37</v>
      </c>
      <c r="I1239" s="1997" t="s">
        <v>18</v>
      </c>
      <c r="J1239" s="3" t="s">
        <v>156</v>
      </c>
      <c r="K1239" s="3"/>
    </row>
    <row r="1240" spans="1:11" ht="43.2" x14ac:dyDescent="0.3">
      <c r="A1240" s="3" t="s">
        <v>2692</v>
      </c>
      <c r="B1240" s="3" t="str">
        <f>"042142012"</f>
        <v>042142012</v>
      </c>
      <c r="C1240" s="3" t="s">
        <v>2693</v>
      </c>
      <c r="D1240" s="3" t="s">
        <v>2694</v>
      </c>
      <c r="E1240" s="3" t="s">
        <v>16</v>
      </c>
      <c r="F1240" s="2">
        <v>44013</v>
      </c>
      <c r="G1240" s="2">
        <v>44135</v>
      </c>
      <c r="H1240" s="1998" t="s">
        <v>37</v>
      </c>
      <c r="I1240" s="3" t="s">
        <v>41</v>
      </c>
      <c r="J1240" s="3" t="s">
        <v>19</v>
      </c>
      <c r="K1240" s="3"/>
    </row>
    <row r="1241" spans="1:11" ht="43.2" x14ac:dyDescent="0.3">
      <c r="A1241" s="3" t="s">
        <v>2692</v>
      </c>
      <c r="B1241" s="3" t="str">
        <f>"042142051"</f>
        <v>042142051</v>
      </c>
      <c r="C1241" s="3" t="s">
        <v>2693</v>
      </c>
      <c r="D1241" s="3" t="s">
        <v>2695</v>
      </c>
      <c r="E1241" s="3" t="s">
        <v>16</v>
      </c>
      <c r="F1241" s="2">
        <v>44129</v>
      </c>
      <c r="G1241" s="2">
        <v>44227</v>
      </c>
      <c r="H1241" s="1999" t="s">
        <v>37</v>
      </c>
      <c r="I1241" s="3" t="s">
        <v>41</v>
      </c>
      <c r="J1241" s="3" t="s">
        <v>19</v>
      </c>
      <c r="K1241" s="3"/>
    </row>
    <row r="1242" spans="1:11" ht="57.6" x14ac:dyDescent="0.3">
      <c r="A1242" s="3" t="s">
        <v>2696</v>
      </c>
      <c r="B1242" s="3" t="str">
        <f>"039922149"</f>
        <v>039922149</v>
      </c>
      <c r="C1242" s="3" t="s">
        <v>2693</v>
      </c>
      <c r="D1242" s="3" t="s">
        <v>2697</v>
      </c>
      <c r="E1242" s="3" t="s">
        <v>122</v>
      </c>
      <c r="F1242" s="2">
        <v>43892</v>
      </c>
      <c r="G1242" s="2">
        <v>43951</v>
      </c>
      <c r="H1242" s="2000" t="s">
        <v>17</v>
      </c>
      <c r="I1242" s="3" t="s">
        <v>41</v>
      </c>
      <c r="J1242" s="3" t="s">
        <v>19</v>
      </c>
      <c r="K1242" s="3"/>
    </row>
    <row r="1243" spans="1:11" ht="57.6" x14ac:dyDescent="0.3">
      <c r="A1243" s="3" t="s">
        <v>2698</v>
      </c>
      <c r="B1243" s="3" t="str">
        <f>"041876018"</f>
        <v>041876018</v>
      </c>
      <c r="C1243" s="3" t="s">
        <v>2699</v>
      </c>
      <c r="D1243" s="3" t="s">
        <v>2700</v>
      </c>
      <c r="E1243" s="3" t="s">
        <v>122</v>
      </c>
      <c r="F1243" s="2">
        <v>43282</v>
      </c>
      <c r="G1243" s="2"/>
      <c r="H1243" s="2001" t="s">
        <v>17</v>
      </c>
      <c r="I1243" s="2002" t="s">
        <v>18</v>
      </c>
      <c r="J1243" s="3" t="s">
        <v>19</v>
      </c>
      <c r="K1243" s="3"/>
    </row>
    <row r="1244" spans="1:11" ht="43.2" x14ac:dyDescent="0.3">
      <c r="A1244" s="3" t="s">
        <v>2701</v>
      </c>
      <c r="B1244" s="3" t="str">
        <f>"036486052"</f>
        <v>036486052</v>
      </c>
      <c r="C1244" s="3" t="s">
        <v>2690</v>
      </c>
      <c r="D1244" s="3" t="s">
        <v>2702</v>
      </c>
      <c r="E1244" s="3" t="s">
        <v>107</v>
      </c>
      <c r="F1244" s="2">
        <v>44015</v>
      </c>
      <c r="G1244" s="2"/>
      <c r="H1244" s="2003" t="s">
        <v>17</v>
      </c>
      <c r="I1244" s="3" t="s">
        <v>41</v>
      </c>
      <c r="J1244" s="3" t="s">
        <v>19</v>
      </c>
      <c r="K1244" s="3"/>
    </row>
    <row r="1245" spans="1:11" ht="43.2" x14ac:dyDescent="0.3">
      <c r="A1245" s="3" t="s">
        <v>2703</v>
      </c>
      <c r="B1245" s="3" t="str">
        <f>"022643047"</f>
        <v>022643047</v>
      </c>
      <c r="C1245" s="3" t="s">
        <v>2704</v>
      </c>
      <c r="D1245" s="3" t="s">
        <v>2705</v>
      </c>
      <c r="E1245" s="3" t="s">
        <v>2586</v>
      </c>
      <c r="F1245" s="2">
        <v>41334</v>
      </c>
      <c r="G1245" s="2"/>
      <c r="H1245" s="2004" t="s">
        <v>37</v>
      </c>
      <c r="I1245" s="2005" t="s">
        <v>18</v>
      </c>
      <c r="J1245" s="3" t="s">
        <v>19</v>
      </c>
      <c r="K1245" s="3"/>
    </row>
    <row r="1246" spans="1:11" ht="57.6" x14ac:dyDescent="0.3">
      <c r="A1246" s="3" t="s">
        <v>2703</v>
      </c>
      <c r="B1246" s="3" t="str">
        <f>"022643011"</f>
        <v>022643011</v>
      </c>
      <c r="C1246" s="3" t="s">
        <v>2704</v>
      </c>
      <c r="D1246" s="3" t="s">
        <v>2706</v>
      </c>
      <c r="E1246" s="3" t="s">
        <v>2586</v>
      </c>
      <c r="F1246" s="2">
        <v>43191</v>
      </c>
      <c r="G1246" s="2"/>
      <c r="H1246" s="2006" t="s">
        <v>37</v>
      </c>
      <c r="I1246" s="2007" t="s">
        <v>18</v>
      </c>
      <c r="J1246" s="3" t="s">
        <v>156</v>
      </c>
      <c r="K1246" s="3"/>
    </row>
    <row r="1247" spans="1:11" ht="57.6" x14ac:dyDescent="0.3">
      <c r="A1247" s="3" t="s">
        <v>2703</v>
      </c>
      <c r="B1247" s="3" t="str">
        <f>"022643023"</f>
        <v>022643023</v>
      </c>
      <c r="C1247" s="3" t="s">
        <v>2704</v>
      </c>
      <c r="D1247" s="3" t="s">
        <v>2707</v>
      </c>
      <c r="E1247" s="3" t="s">
        <v>2586</v>
      </c>
      <c r="F1247" s="2">
        <v>43067</v>
      </c>
      <c r="G1247" s="2"/>
      <c r="H1247" s="2008" t="s">
        <v>37</v>
      </c>
      <c r="I1247" s="2009" t="s">
        <v>18</v>
      </c>
      <c r="J1247" s="3" t="s">
        <v>156</v>
      </c>
      <c r="K1247" s="3"/>
    </row>
    <row r="1248" spans="1:11" ht="28.8" x14ac:dyDescent="0.3">
      <c r="A1248" s="3" t="s">
        <v>2708</v>
      </c>
      <c r="B1248" s="3" t="str">
        <f>"015724053"</f>
        <v>015724053</v>
      </c>
      <c r="C1248" s="3" t="s">
        <v>2709</v>
      </c>
      <c r="D1248" s="3" t="s">
        <v>2710</v>
      </c>
      <c r="E1248" s="3" t="s">
        <v>255</v>
      </c>
      <c r="F1248" s="2">
        <v>43814</v>
      </c>
      <c r="G1248" s="2">
        <v>44092</v>
      </c>
      <c r="H1248" s="2010" t="s">
        <v>37</v>
      </c>
      <c r="I1248" s="3" t="s">
        <v>41</v>
      </c>
      <c r="J1248" s="3" t="s">
        <v>240</v>
      </c>
      <c r="K1248" s="3"/>
    </row>
    <row r="1249" spans="1:11" ht="57.6" x14ac:dyDescent="0.3">
      <c r="A1249" s="3" t="s">
        <v>2711</v>
      </c>
      <c r="B1249" s="3" t="str">
        <f>"041692029"</f>
        <v>041692029</v>
      </c>
      <c r="C1249" s="3" t="s">
        <v>1870</v>
      </c>
      <c r="D1249" s="3" t="s">
        <v>2712</v>
      </c>
      <c r="E1249" s="3" t="s">
        <v>56</v>
      </c>
      <c r="F1249" s="2">
        <v>44049</v>
      </c>
      <c r="G1249" s="2">
        <v>44098</v>
      </c>
      <c r="H1249" s="2011" t="s">
        <v>17</v>
      </c>
      <c r="I1249" s="3" t="s">
        <v>41</v>
      </c>
      <c r="J1249" s="3" t="s">
        <v>19</v>
      </c>
      <c r="K1249" s="3"/>
    </row>
    <row r="1250" spans="1:11" ht="43.2" x14ac:dyDescent="0.3">
      <c r="A1250" s="3" t="s">
        <v>2713</v>
      </c>
      <c r="B1250" s="3" t="str">
        <f>"027673045"</f>
        <v>027673045</v>
      </c>
      <c r="C1250" s="3" t="s">
        <v>2714</v>
      </c>
      <c r="D1250" s="3" t="s">
        <v>2715</v>
      </c>
      <c r="E1250" s="3" t="s">
        <v>2716</v>
      </c>
      <c r="F1250" s="2">
        <v>44256</v>
      </c>
      <c r="G1250" s="2"/>
      <c r="H1250" s="2012" t="s">
        <v>17</v>
      </c>
      <c r="I1250" s="2013" t="s">
        <v>18</v>
      </c>
      <c r="J1250" s="3" t="s">
        <v>19</v>
      </c>
      <c r="K1250" s="3"/>
    </row>
    <row r="1251" spans="1:11" ht="43.2" x14ac:dyDescent="0.3">
      <c r="A1251" s="3" t="s">
        <v>2717</v>
      </c>
      <c r="B1251" s="3" t="str">
        <f>"040754018"</f>
        <v>040754018</v>
      </c>
      <c r="C1251" s="3" t="s">
        <v>2718</v>
      </c>
      <c r="D1251" s="3" t="s">
        <v>2719</v>
      </c>
      <c r="E1251" s="3" t="s">
        <v>107</v>
      </c>
      <c r="F1251" s="2">
        <v>43314</v>
      </c>
      <c r="G1251" s="2"/>
      <c r="H1251" s="2014" t="s">
        <v>17</v>
      </c>
      <c r="I1251" s="2015" t="s">
        <v>18</v>
      </c>
      <c r="J1251" s="3" t="s">
        <v>19</v>
      </c>
      <c r="K1251" s="3"/>
    </row>
    <row r="1252" spans="1:11" ht="43.2" x14ac:dyDescent="0.3">
      <c r="A1252" s="3" t="s">
        <v>2720</v>
      </c>
      <c r="B1252" s="3" t="str">
        <f>"038626014"</f>
        <v>038626014</v>
      </c>
      <c r="C1252" s="3" t="s">
        <v>2721</v>
      </c>
      <c r="D1252" s="3" t="s">
        <v>2722</v>
      </c>
      <c r="E1252" s="3" t="s">
        <v>263</v>
      </c>
      <c r="F1252" s="2">
        <v>43038</v>
      </c>
      <c r="G1252" s="2"/>
      <c r="H1252" s="2016" t="s">
        <v>17</v>
      </c>
      <c r="I1252" s="2017" t="s">
        <v>18</v>
      </c>
      <c r="J1252" s="3" t="s">
        <v>19</v>
      </c>
      <c r="K1252" s="3"/>
    </row>
    <row r="1253" spans="1:11" ht="43.2" x14ac:dyDescent="0.3">
      <c r="A1253" s="3" t="s">
        <v>2723</v>
      </c>
      <c r="B1253" s="3" t="str">
        <f>"034206033"</f>
        <v>034206033</v>
      </c>
      <c r="C1253" s="3" t="s">
        <v>1707</v>
      </c>
      <c r="D1253" s="3" t="s">
        <v>2724</v>
      </c>
      <c r="E1253" s="3" t="s">
        <v>59</v>
      </c>
      <c r="F1253" s="2">
        <v>43252</v>
      </c>
      <c r="G1253" s="2"/>
      <c r="H1253" s="2018" t="s">
        <v>17</v>
      </c>
      <c r="I1253" s="2019" t="s">
        <v>32</v>
      </c>
      <c r="J1253" s="3" t="s">
        <v>19</v>
      </c>
      <c r="K1253" s="3"/>
    </row>
    <row r="1254" spans="1:11" ht="43.2" x14ac:dyDescent="0.3">
      <c r="A1254" s="3" t="s">
        <v>2723</v>
      </c>
      <c r="B1254" s="3" t="str">
        <f>"034206045"</f>
        <v>034206045</v>
      </c>
      <c r="C1254" s="3" t="s">
        <v>1707</v>
      </c>
      <c r="D1254" s="3" t="s">
        <v>2725</v>
      </c>
      <c r="E1254" s="3" t="s">
        <v>59</v>
      </c>
      <c r="F1254" s="2">
        <v>43252</v>
      </c>
      <c r="G1254" s="2"/>
      <c r="H1254" s="2020" t="s">
        <v>17</v>
      </c>
      <c r="I1254" s="2021" t="s">
        <v>32</v>
      </c>
      <c r="J1254" s="3" t="s">
        <v>19</v>
      </c>
      <c r="K1254" s="3"/>
    </row>
    <row r="1255" spans="1:11" ht="43.2" x14ac:dyDescent="0.3">
      <c r="A1255" s="3" t="s">
        <v>2723</v>
      </c>
      <c r="B1255" s="3" t="str">
        <f>"034206058"</f>
        <v>034206058</v>
      </c>
      <c r="C1255" s="3" t="s">
        <v>1707</v>
      </c>
      <c r="D1255" s="3" t="s">
        <v>2726</v>
      </c>
      <c r="E1255" s="3" t="s">
        <v>59</v>
      </c>
      <c r="F1255" s="2">
        <v>43252</v>
      </c>
      <c r="G1255" s="2"/>
      <c r="H1255" s="2022" t="s">
        <v>17</v>
      </c>
      <c r="I1255" s="2023" t="s">
        <v>32</v>
      </c>
      <c r="J1255" s="3" t="s">
        <v>19</v>
      </c>
      <c r="K1255" s="3"/>
    </row>
    <row r="1256" spans="1:11" ht="43.2" x14ac:dyDescent="0.3">
      <c r="A1256" s="3" t="s">
        <v>2727</v>
      </c>
      <c r="B1256" s="3" t="str">
        <f>"030727010"</f>
        <v>030727010</v>
      </c>
      <c r="C1256" s="3" t="s">
        <v>1707</v>
      </c>
      <c r="D1256" s="3" t="s">
        <v>2728</v>
      </c>
      <c r="E1256" s="3" t="s">
        <v>59</v>
      </c>
      <c r="F1256" s="2">
        <v>43252</v>
      </c>
      <c r="G1256" s="2"/>
      <c r="H1256" s="2024" t="s">
        <v>17</v>
      </c>
      <c r="I1256" s="2025" t="s">
        <v>32</v>
      </c>
      <c r="J1256" s="3" t="s">
        <v>19</v>
      </c>
      <c r="K1256" s="3"/>
    </row>
    <row r="1257" spans="1:11" ht="43.2" x14ac:dyDescent="0.3">
      <c r="A1257" s="3" t="s">
        <v>2727</v>
      </c>
      <c r="B1257" s="3" t="str">
        <f>"030727022"</f>
        <v>030727022</v>
      </c>
      <c r="C1257" s="3" t="s">
        <v>1707</v>
      </c>
      <c r="D1257" s="3" t="s">
        <v>2688</v>
      </c>
      <c r="E1257" s="3" t="s">
        <v>59</v>
      </c>
      <c r="F1257" s="2">
        <v>43252</v>
      </c>
      <c r="G1257" s="2"/>
      <c r="H1257" s="2026" t="s">
        <v>17</v>
      </c>
      <c r="I1257" s="2027" t="s">
        <v>32</v>
      </c>
      <c r="J1257" s="3" t="s">
        <v>19</v>
      </c>
      <c r="K1257" s="3"/>
    </row>
    <row r="1258" spans="1:11" ht="43.2" x14ac:dyDescent="0.3">
      <c r="A1258" s="3" t="s">
        <v>2729</v>
      </c>
      <c r="B1258" s="3" t="str">
        <f>"024659157"</f>
        <v>024659157</v>
      </c>
      <c r="C1258" s="3" t="s">
        <v>884</v>
      </c>
      <c r="D1258" s="3" t="s">
        <v>2730</v>
      </c>
      <c r="E1258" s="3" t="s">
        <v>412</v>
      </c>
      <c r="F1258" s="2">
        <v>43983</v>
      </c>
      <c r="G1258" s="2">
        <v>44165</v>
      </c>
      <c r="H1258" s="2028" t="s">
        <v>37</v>
      </c>
      <c r="I1258" s="3" t="s">
        <v>41</v>
      </c>
      <c r="J1258" s="3" t="s">
        <v>19</v>
      </c>
      <c r="K1258" s="3"/>
    </row>
    <row r="1259" spans="1:11" ht="43.2" x14ac:dyDescent="0.3">
      <c r="A1259" s="3" t="s">
        <v>2731</v>
      </c>
      <c r="B1259" s="3" t="str">
        <f>"025378023"</f>
        <v>025378023</v>
      </c>
      <c r="C1259" s="3" t="s">
        <v>2732</v>
      </c>
      <c r="D1259" s="3" t="s">
        <v>2733</v>
      </c>
      <c r="E1259" s="3" t="s">
        <v>425</v>
      </c>
      <c r="F1259" s="2">
        <v>42180</v>
      </c>
      <c r="G1259" s="2"/>
      <c r="H1259" s="2029" t="s">
        <v>17</v>
      </c>
      <c r="I1259" s="2030" t="s">
        <v>18</v>
      </c>
      <c r="J1259" s="3" t="s">
        <v>19</v>
      </c>
      <c r="K1259" s="3"/>
    </row>
    <row r="1260" spans="1:11" ht="57.6" x14ac:dyDescent="0.3">
      <c r="A1260" s="3" t="s">
        <v>2734</v>
      </c>
      <c r="B1260" s="3" t="str">
        <f>"041230107"</f>
        <v>041230107</v>
      </c>
      <c r="C1260" s="3" t="s">
        <v>491</v>
      </c>
      <c r="D1260" s="3" t="s">
        <v>2735</v>
      </c>
      <c r="E1260" s="3" t="s">
        <v>56</v>
      </c>
      <c r="F1260" s="2">
        <v>44228</v>
      </c>
      <c r="G1260" s="2">
        <v>44377</v>
      </c>
      <c r="H1260" s="2031" t="s">
        <v>17</v>
      </c>
      <c r="I1260" s="3" t="s">
        <v>41</v>
      </c>
      <c r="J1260" s="3" t="s">
        <v>19</v>
      </c>
      <c r="K1260" s="3"/>
    </row>
    <row r="1261" spans="1:11" ht="43.2" x14ac:dyDescent="0.3">
      <c r="A1261" s="3" t="s">
        <v>2736</v>
      </c>
      <c r="B1261" s="3" t="str">
        <f>"040419172"</f>
        <v>040419172</v>
      </c>
      <c r="C1261" s="3" t="s">
        <v>491</v>
      </c>
      <c r="D1261" s="3" t="s">
        <v>2737</v>
      </c>
      <c r="E1261" s="3" t="s">
        <v>107</v>
      </c>
      <c r="F1261" s="2">
        <v>44070</v>
      </c>
      <c r="G1261" s="2"/>
      <c r="H1261" s="2032" t="s">
        <v>17</v>
      </c>
      <c r="I1261" s="3" t="s">
        <v>41</v>
      </c>
      <c r="J1261" s="3" t="s">
        <v>19</v>
      </c>
      <c r="K1261" s="3"/>
    </row>
    <row r="1262" spans="1:11" ht="43.2" x14ac:dyDescent="0.3">
      <c r="A1262" s="3" t="s">
        <v>2738</v>
      </c>
      <c r="B1262" s="3" t="str">
        <f>"025496062"</f>
        <v>025496062</v>
      </c>
      <c r="C1262" s="3" t="s">
        <v>805</v>
      </c>
      <c r="D1262" s="3" t="s">
        <v>2739</v>
      </c>
      <c r="E1262" s="3" t="s">
        <v>371</v>
      </c>
      <c r="F1262" s="2">
        <v>43025</v>
      </c>
      <c r="G1262" s="2"/>
      <c r="H1262" s="2033" t="s">
        <v>17</v>
      </c>
      <c r="I1262" s="2034" t="s">
        <v>18</v>
      </c>
      <c r="J1262" s="3" t="s">
        <v>19</v>
      </c>
      <c r="K1262" s="3"/>
    </row>
    <row r="1263" spans="1:11" ht="43.2" x14ac:dyDescent="0.3">
      <c r="A1263" s="3" t="s">
        <v>2740</v>
      </c>
      <c r="B1263" s="3" t="str">
        <f>"028824011"</f>
        <v>028824011</v>
      </c>
      <c r="C1263" s="3" t="s">
        <v>1257</v>
      </c>
      <c r="D1263" s="3" t="s">
        <v>2741</v>
      </c>
      <c r="E1263" s="3" t="s">
        <v>2138</v>
      </c>
      <c r="F1263" s="2">
        <v>42136</v>
      </c>
      <c r="G1263" s="2"/>
      <c r="H1263" s="2035" t="s">
        <v>17</v>
      </c>
      <c r="I1263" s="2036" t="s">
        <v>18</v>
      </c>
      <c r="J1263" s="3" t="s">
        <v>19</v>
      </c>
      <c r="K1263" s="3"/>
    </row>
    <row r="1264" spans="1:11" ht="43.2" x14ac:dyDescent="0.3">
      <c r="A1264" s="3" t="s">
        <v>2740</v>
      </c>
      <c r="B1264" s="3" t="str">
        <f>"028824023"</f>
        <v>028824023</v>
      </c>
      <c r="C1264" s="3" t="s">
        <v>1257</v>
      </c>
      <c r="D1264" s="3" t="s">
        <v>2742</v>
      </c>
      <c r="E1264" s="3" t="s">
        <v>2138</v>
      </c>
      <c r="F1264" s="2">
        <v>42339</v>
      </c>
      <c r="G1264" s="2"/>
      <c r="H1264" s="2037" t="s">
        <v>17</v>
      </c>
      <c r="I1264" s="2038" t="s">
        <v>18</v>
      </c>
      <c r="J1264" s="3" t="s">
        <v>19</v>
      </c>
      <c r="K1264" s="3"/>
    </row>
    <row r="1265" spans="1:11" ht="43.2" x14ac:dyDescent="0.3">
      <c r="A1265" s="3" t="s">
        <v>2743</v>
      </c>
      <c r="B1265" s="3" t="str">
        <f>"039234202"</f>
        <v>039234202</v>
      </c>
      <c r="C1265" s="3" t="s">
        <v>2744</v>
      </c>
      <c r="D1265" s="3" t="s">
        <v>2745</v>
      </c>
      <c r="E1265" s="3" t="s">
        <v>83</v>
      </c>
      <c r="F1265" s="2">
        <v>43969</v>
      </c>
      <c r="G1265" s="2"/>
      <c r="H1265" s="2039" t="s">
        <v>17</v>
      </c>
      <c r="I1265" s="3" t="s">
        <v>41</v>
      </c>
      <c r="J1265" s="3" t="s">
        <v>19</v>
      </c>
      <c r="K1265" s="3"/>
    </row>
    <row r="1266" spans="1:11" ht="43.2" x14ac:dyDescent="0.3">
      <c r="A1266" s="3" t="s">
        <v>2746</v>
      </c>
      <c r="B1266" s="3" t="str">
        <f>"039264066"</f>
        <v>039264066</v>
      </c>
      <c r="C1266" s="3" t="s">
        <v>2744</v>
      </c>
      <c r="D1266" s="3" t="s">
        <v>2747</v>
      </c>
      <c r="E1266" s="3" t="s">
        <v>56</v>
      </c>
      <c r="F1266" s="2">
        <v>41849</v>
      </c>
      <c r="G1266" s="2"/>
      <c r="H1266" s="2040" t="s">
        <v>17</v>
      </c>
      <c r="I1266" s="2041" t="s">
        <v>18</v>
      </c>
      <c r="J1266" s="3" t="s">
        <v>19</v>
      </c>
      <c r="K1266" s="3"/>
    </row>
    <row r="1267" spans="1:11" ht="43.2" x14ac:dyDescent="0.3">
      <c r="A1267" s="3" t="s">
        <v>2746</v>
      </c>
      <c r="B1267" s="3" t="str">
        <f>"039264015"</f>
        <v>039264015</v>
      </c>
      <c r="C1267" s="3" t="s">
        <v>2744</v>
      </c>
      <c r="D1267" s="3" t="s">
        <v>2748</v>
      </c>
      <c r="E1267" s="3" t="s">
        <v>56</v>
      </c>
      <c r="F1267" s="2">
        <v>41849</v>
      </c>
      <c r="G1267" s="2"/>
      <c r="H1267" s="2042" t="s">
        <v>17</v>
      </c>
      <c r="I1267" s="2043" t="s">
        <v>18</v>
      </c>
      <c r="J1267" s="3" t="s">
        <v>19</v>
      </c>
      <c r="K1267" s="3"/>
    </row>
    <row r="1268" spans="1:11" ht="43.2" x14ac:dyDescent="0.3">
      <c r="A1268" s="3" t="s">
        <v>2749</v>
      </c>
      <c r="B1268" s="3" t="str">
        <f>"039277177"</f>
        <v>039277177</v>
      </c>
      <c r="C1268" s="3" t="s">
        <v>2744</v>
      </c>
      <c r="D1268" s="3" t="s">
        <v>2750</v>
      </c>
      <c r="E1268" s="3" t="s">
        <v>107</v>
      </c>
      <c r="F1268" s="2">
        <v>41992</v>
      </c>
      <c r="G1268" s="2"/>
      <c r="H1268" s="2044" t="s">
        <v>17</v>
      </c>
      <c r="I1268" s="2045" t="s">
        <v>18</v>
      </c>
      <c r="J1268" s="3" t="s">
        <v>19</v>
      </c>
      <c r="K1268" s="3"/>
    </row>
    <row r="1269" spans="1:11" ht="43.2" x14ac:dyDescent="0.3">
      <c r="A1269" s="3" t="s">
        <v>2749</v>
      </c>
      <c r="B1269" s="3" t="str">
        <f>"039277052"</f>
        <v>039277052</v>
      </c>
      <c r="C1269" s="3" t="s">
        <v>2744</v>
      </c>
      <c r="D1269" s="3" t="s">
        <v>2751</v>
      </c>
      <c r="E1269" s="3" t="s">
        <v>107</v>
      </c>
      <c r="F1269" s="2">
        <v>42017</v>
      </c>
      <c r="G1269" s="2"/>
      <c r="H1269" s="2046" t="s">
        <v>17</v>
      </c>
      <c r="I1269" s="2047" t="s">
        <v>18</v>
      </c>
      <c r="J1269" s="3" t="s">
        <v>19</v>
      </c>
      <c r="K1269" s="3"/>
    </row>
    <row r="1270" spans="1:11" ht="43.2" x14ac:dyDescent="0.3">
      <c r="A1270" s="3" t="s">
        <v>2752</v>
      </c>
      <c r="B1270" s="3" t="str">
        <f>"039249077"</f>
        <v>039249077</v>
      </c>
      <c r="C1270" s="3" t="s">
        <v>2744</v>
      </c>
      <c r="D1270" s="3" t="s">
        <v>2753</v>
      </c>
      <c r="E1270" s="3" t="s">
        <v>64</v>
      </c>
      <c r="F1270" s="2">
        <v>44013</v>
      </c>
      <c r="G1270" s="2"/>
      <c r="H1270" s="2048" t="s">
        <v>17</v>
      </c>
      <c r="I1270" s="3" t="s">
        <v>41</v>
      </c>
      <c r="J1270" s="3" t="s">
        <v>19</v>
      </c>
      <c r="K1270" s="3"/>
    </row>
    <row r="1271" spans="1:11" ht="43.2" x14ac:dyDescent="0.3">
      <c r="A1271" s="3" t="s">
        <v>2754</v>
      </c>
      <c r="B1271" s="3" t="str">
        <f>"029163019"</f>
        <v>029163019</v>
      </c>
      <c r="C1271" s="3" t="s">
        <v>2755</v>
      </c>
      <c r="D1271" s="3" t="s">
        <v>2096</v>
      </c>
      <c r="E1271" s="3" t="s">
        <v>1416</v>
      </c>
      <c r="F1271" s="2">
        <v>42948</v>
      </c>
      <c r="G1271" s="2"/>
      <c r="H1271" s="2049" t="s">
        <v>37</v>
      </c>
      <c r="I1271" s="2050" t="s">
        <v>18</v>
      </c>
      <c r="J1271" s="3" t="s">
        <v>19</v>
      </c>
      <c r="K1271" s="3"/>
    </row>
    <row r="1272" spans="1:11" ht="43.2" x14ac:dyDescent="0.3">
      <c r="A1272" s="3" t="s">
        <v>2754</v>
      </c>
      <c r="B1272" s="3" t="str">
        <f>"029163021"</f>
        <v>029163021</v>
      </c>
      <c r="C1272" s="3" t="s">
        <v>2755</v>
      </c>
      <c r="D1272" s="3" t="s">
        <v>2756</v>
      </c>
      <c r="E1272" s="3" t="s">
        <v>1416</v>
      </c>
      <c r="F1272" s="2">
        <v>42916</v>
      </c>
      <c r="G1272" s="2"/>
      <c r="H1272" s="2051" t="s">
        <v>37</v>
      </c>
      <c r="I1272" s="2052" t="s">
        <v>18</v>
      </c>
      <c r="J1272" s="3" t="s">
        <v>19</v>
      </c>
      <c r="K1272" s="3"/>
    </row>
    <row r="1273" spans="1:11" ht="43.2" x14ac:dyDescent="0.3">
      <c r="A1273" s="3" t="s">
        <v>2757</v>
      </c>
      <c r="B1273" s="3" t="str">
        <f>"040214037"</f>
        <v>040214037</v>
      </c>
      <c r="C1273" s="3" t="s">
        <v>2758</v>
      </c>
      <c r="D1273" s="3" t="s">
        <v>2759</v>
      </c>
      <c r="E1273" s="3" t="s">
        <v>83</v>
      </c>
      <c r="F1273" s="2">
        <v>43997</v>
      </c>
      <c r="G1273" s="2"/>
      <c r="H1273" s="2053" t="s">
        <v>17</v>
      </c>
      <c r="I1273" s="3" t="s">
        <v>41</v>
      </c>
      <c r="J1273" s="3" t="s">
        <v>19</v>
      </c>
      <c r="K1273" s="3"/>
    </row>
    <row r="1274" spans="1:11" ht="72" x14ac:dyDescent="0.3">
      <c r="A1274" s="3" t="s">
        <v>2760</v>
      </c>
      <c r="B1274" s="3" t="str">
        <f>"043273010"</f>
        <v>043273010</v>
      </c>
      <c r="C1274" s="3" t="s">
        <v>2627</v>
      </c>
      <c r="D1274" s="3" t="s">
        <v>2761</v>
      </c>
      <c r="E1274" s="3" t="s">
        <v>16</v>
      </c>
      <c r="F1274" s="2">
        <v>43983</v>
      </c>
      <c r="G1274" s="2">
        <v>44227</v>
      </c>
      <c r="H1274" s="2054" t="s">
        <v>17</v>
      </c>
      <c r="I1274" s="3" t="s">
        <v>41</v>
      </c>
      <c r="J1274" s="3" t="s">
        <v>19</v>
      </c>
      <c r="K1274" s="3"/>
    </row>
    <row r="1275" spans="1:11" ht="72" x14ac:dyDescent="0.3">
      <c r="A1275" s="3" t="s">
        <v>2760</v>
      </c>
      <c r="B1275" s="3" t="str">
        <f>"043273022"</f>
        <v>043273022</v>
      </c>
      <c r="C1275" s="3" t="s">
        <v>2627</v>
      </c>
      <c r="D1275" s="3" t="s">
        <v>2762</v>
      </c>
      <c r="E1275" s="3" t="s">
        <v>16</v>
      </c>
      <c r="F1275" s="2">
        <v>44129</v>
      </c>
      <c r="G1275" s="2">
        <v>44227</v>
      </c>
      <c r="H1275" s="2055" t="s">
        <v>17</v>
      </c>
      <c r="I1275" s="3" t="s">
        <v>41</v>
      </c>
      <c r="J1275" s="3" t="s">
        <v>19</v>
      </c>
      <c r="K1275" s="3"/>
    </row>
    <row r="1276" spans="1:11" ht="72" x14ac:dyDescent="0.3">
      <c r="A1276" s="3" t="s">
        <v>2760</v>
      </c>
      <c r="B1276" s="3" t="str">
        <f>"043273034"</f>
        <v>043273034</v>
      </c>
      <c r="C1276" s="3" t="s">
        <v>2627</v>
      </c>
      <c r="D1276" s="3" t="s">
        <v>2763</v>
      </c>
      <c r="E1276" s="3" t="s">
        <v>16</v>
      </c>
      <c r="F1276" s="2">
        <v>43983</v>
      </c>
      <c r="G1276" s="2">
        <v>44227</v>
      </c>
      <c r="H1276" s="2056" t="s">
        <v>17</v>
      </c>
      <c r="I1276" s="3" t="s">
        <v>41</v>
      </c>
      <c r="J1276" s="3" t="s">
        <v>19</v>
      </c>
      <c r="K1276" s="3"/>
    </row>
    <row r="1277" spans="1:11" ht="43.2" x14ac:dyDescent="0.3">
      <c r="A1277" s="3" t="s">
        <v>2764</v>
      </c>
      <c r="B1277" s="3" t="str">
        <f>"040529101"</f>
        <v>040529101</v>
      </c>
      <c r="C1277" s="3" t="s">
        <v>2627</v>
      </c>
      <c r="D1277" s="3" t="s">
        <v>2765</v>
      </c>
      <c r="E1277" s="3" t="s">
        <v>74</v>
      </c>
      <c r="F1277" s="2">
        <v>43709</v>
      </c>
      <c r="G1277" s="2"/>
      <c r="H1277" s="2057" t="s">
        <v>17</v>
      </c>
      <c r="I1277" s="3" t="s">
        <v>41</v>
      </c>
      <c r="J1277" s="3" t="s">
        <v>19</v>
      </c>
      <c r="K1277" s="3"/>
    </row>
    <row r="1278" spans="1:11" ht="43.2" x14ac:dyDescent="0.3">
      <c r="A1278" s="3" t="s">
        <v>2766</v>
      </c>
      <c r="B1278" s="3" t="str">
        <f>"040846040"</f>
        <v>040846040</v>
      </c>
      <c r="C1278" s="3" t="s">
        <v>2627</v>
      </c>
      <c r="D1278" s="3" t="s">
        <v>2767</v>
      </c>
      <c r="E1278" s="3" t="s">
        <v>83</v>
      </c>
      <c r="F1278" s="2">
        <v>43965</v>
      </c>
      <c r="G1278" s="2"/>
      <c r="H1278" s="2058" t="s">
        <v>17</v>
      </c>
      <c r="I1278" s="3" t="s">
        <v>41</v>
      </c>
      <c r="J1278" s="3" t="s">
        <v>19</v>
      </c>
      <c r="K1278" s="3"/>
    </row>
    <row r="1279" spans="1:11" ht="43.2" x14ac:dyDescent="0.3">
      <c r="A1279" s="3" t="s">
        <v>2766</v>
      </c>
      <c r="B1279" s="3" t="str">
        <f>"040846139"</f>
        <v>040846139</v>
      </c>
      <c r="C1279" s="3" t="s">
        <v>2627</v>
      </c>
      <c r="D1279" s="3" t="s">
        <v>2768</v>
      </c>
      <c r="E1279" s="3" t="s">
        <v>83</v>
      </c>
      <c r="F1279" s="2">
        <v>43965</v>
      </c>
      <c r="G1279" s="2"/>
      <c r="H1279" s="2059" t="s">
        <v>17</v>
      </c>
      <c r="I1279" s="3" t="s">
        <v>41</v>
      </c>
      <c r="J1279" s="3" t="s">
        <v>19</v>
      </c>
      <c r="K1279" s="3"/>
    </row>
    <row r="1280" spans="1:11" ht="86.4" x14ac:dyDescent="0.3">
      <c r="A1280" s="3" t="s">
        <v>2769</v>
      </c>
      <c r="B1280" s="3" t="str">
        <f>"045107036"</f>
        <v>045107036</v>
      </c>
      <c r="C1280" s="3" t="s">
        <v>2627</v>
      </c>
      <c r="D1280" s="3" t="s">
        <v>2770</v>
      </c>
      <c r="E1280" s="3" t="s">
        <v>83</v>
      </c>
      <c r="F1280" s="2">
        <v>44207</v>
      </c>
      <c r="G1280" s="2">
        <v>44501</v>
      </c>
      <c r="H1280" s="2060" t="s">
        <v>17</v>
      </c>
      <c r="I1280" s="3" t="s">
        <v>41</v>
      </c>
      <c r="J1280" s="3" t="s">
        <v>19</v>
      </c>
      <c r="K1280" s="3"/>
    </row>
    <row r="1281" spans="1:11" ht="43.2" x14ac:dyDescent="0.3">
      <c r="A1281" s="3" t="s">
        <v>2771</v>
      </c>
      <c r="B1281" s="3" t="str">
        <f>"043306101"</f>
        <v>043306101</v>
      </c>
      <c r="C1281" s="3" t="s">
        <v>2627</v>
      </c>
      <c r="D1281" s="3" t="s">
        <v>2772</v>
      </c>
      <c r="E1281" s="3" t="s">
        <v>481</v>
      </c>
      <c r="F1281" s="2">
        <v>43363</v>
      </c>
      <c r="G1281" s="2">
        <v>43896</v>
      </c>
      <c r="H1281" s="2061" t="s">
        <v>17</v>
      </c>
      <c r="I1281" s="3" t="s">
        <v>41</v>
      </c>
      <c r="J1281" s="3" t="s">
        <v>19</v>
      </c>
      <c r="K1281" s="3"/>
    </row>
    <row r="1282" spans="1:11" ht="43.2" x14ac:dyDescent="0.3">
      <c r="A1282" s="3" t="s">
        <v>2773</v>
      </c>
      <c r="B1282" s="3" t="str">
        <f>"040329171"</f>
        <v>040329171</v>
      </c>
      <c r="C1282" s="3" t="s">
        <v>2627</v>
      </c>
      <c r="D1282" s="3" t="s">
        <v>2774</v>
      </c>
      <c r="E1282" s="3" t="s">
        <v>56</v>
      </c>
      <c r="F1282" s="2">
        <v>44081</v>
      </c>
      <c r="G1282" s="2">
        <v>44537</v>
      </c>
      <c r="H1282" s="2062" t="s">
        <v>17</v>
      </c>
      <c r="I1282" s="3" t="s">
        <v>526</v>
      </c>
      <c r="J1282" s="3" t="s">
        <v>19</v>
      </c>
      <c r="K1282" s="3"/>
    </row>
    <row r="1283" spans="1:11" ht="43.2" x14ac:dyDescent="0.3">
      <c r="A1283" s="3" t="s">
        <v>2775</v>
      </c>
      <c r="B1283" s="3" t="str">
        <f>"040345086"</f>
        <v>040345086</v>
      </c>
      <c r="C1283" s="3" t="s">
        <v>2627</v>
      </c>
      <c r="D1283" s="3" t="s">
        <v>2776</v>
      </c>
      <c r="E1283" s="3" t="s">
        <v>56</v>
      </c>
      <c r="F1283" s="2">
        <v>42747</v>
      </c>
      <c r="G1283" s="2"/>
      <c r="H1283" s="2063" t="s">
        <v>17</v>
      </c>
      <c r="I1283" s="2064" t="s">
        <v>18</v>
      </c>
      <c r="J1283" s="3" t="s">
        <v>19</v>
      </c>
      <c r="K1283" s="3"/>
    </row>
    <row r="1284" spans="1:11" ht="72" x14ac:dyDescent="0.3">
      <c r="A1284" s="3" t="s">
        <v>2777</v>
      </c>
      <c r="B1284" s="3" t="str">
        <f>"041402013"</f>
        <v>041402013</v>
      </c>
      <c r="C1284" s="3" t="s">
        <v>2627</v>
      </c>
      <c r="D1284" s="3" t="s">
        <v>2778</v>
      </c>
      <c r="E1284" s="3" t="s">
        <v>103</v>
      </c>
      <c r="F1284" s="2">
        <v>44015</v>
      </c>
      <c r="G1284" s="2">
        <v>44286</v>
      </c>
      <c r="H1284" s="2065" t="s">
        <v>17</v>
      </c>
      <c r="I1284" s="3" t="s">
        <v>41</v>
      </c>
      <c r="J1284" s="3" t="s">
        <v>19</v>
      </c>
      <c r="K1284" s="3"/>
    </row>
    <row r="1285" spans="1:11" ht="43.2" x14ac:dyDescent="0.3">
      <c r="A1285" s="3" t="s">
        <v>2779</v>
      </c>
      <c r="B1285" s="3" t="str">
        <f>"040440137"</f>
        <v>040440137</v>
      </c>
      <c r="C1285" s="3" t="s">
        <v>2627</v>
      </c>
      <c r="D1285" s="3" t="s">
        <v>2780</v>
      </c>
      <c r="E1285" s="3" t="s">
        <v>107</v>
      </c>
      <c r="F1285" s="2">
        <v>42937</v>
      </c>
      <c r="G1285" s="2"/>
      <c r="H1285" s="2066" t="s">
        <v>17</v>
      </c>
      <c r="I1285" s="2067" t="s">
        <v>18</v>
      </c>
      <c r="J1285" s="3" t="s">
        <v>19</v>
      </c>
      <c r="K1285" s="3"/>
    </row>
    <row r="1286" spans="1:11" ht="43.2" x14ac:dyDescent="0.3">
      <c r="A1286" s="3" t="s">
        <v>2779</v>
      </c>
      <c r="B1286" s="3" t="str">
        <f>"040440190"</f>
        <v>040440190</v>
      </c>
      <c r="C1286" s="3" t="s">
        <v>2627</v>
      </c>
      <c r="D1286" s="3" t="s">
        <v>2781</v>
      </c>
      <c r="E1286" s="3" t="s">
        <v>107</v>
      </c>
      <c r="F1286" s="2">
        <v>42937</v>
      </c>
      <c r="G1286" s="2"/>
      <c r="H1286" s="2068" t="s">
        <v>17</v>
      </c>
      <c r="I1286" s="2069" t="s">
        <v>18</v>
      </c>
      <c r="J1286" s="3" t="s">
        <v>19</v>
      </c>
      <c r="K1286" s="3"/>
    </row>
    <row r="1287" spans="1:11" ht="72" x14ac:dyDescent="0.3">
      <c r="A1287" s="3" t="s">
        <v>2782</v>
      </c>
      <c r="B1287" s="3" t="str">
        <f>"041660010"</f>
        <v>041660010</v>
      </c>
      <c r="C1287" s="3" t="s">
        <v>2627</v>
      </c>
      <c r="D1287" s="3" t="s">
        <v>2783</v>
      </c>
      <c r="E1287" s="3" t="s">
        <v>64</v>
      </c>
      <c r="F1287" s="2">
        <v>43983</v>
      </c>
      <c r="G1287" s="2"/>
      <c r="H1287" s="2070" t="s">
        <v>17</v>
      </c>
      <c r="I1287" s="3" t="s">
        <v>41</v>
      </c>
      <c r="J1287" s="3" t="s">
        <v>19</v>
      </c>
      <c r="K1287" s="3"/>
    </row>
    <row r="1288" spans="1:11" ht="43.2" x14ac:dyDescent="0.3">
      <c r="A1288" s="3" t="s">
        <v>2784</v>
      </c>
      <c r="B1288" s="3" t="str">
        <f>"042137051"</f>
        <v>042137051</v>
      </c>
      <c r="C1288" s="3" t="s">
        <v>2627</v>
      </c>
      <c r="D1288" s="3" t="s">
        <v>2785</v>
      </c>
      <c r="E1288" s="3" t="s">
        <v>70</v>
      </c>
      <c r="F1288" s="2">
        <v>43995</v>
      </c>
      <c r="G1288" s="2"/>
      <c r="H1288" s="2071" t="s">
        <v>17</v>
      </c>
      <c r="I1288" s="3" t="s">
        <v>41</v>
      </c>
      <c r="J1288" s="3" t="s">
        <v>19</v>
      </c>
      <c r="K1288" s="3"/>
    </row>
    <row r="1289" spans="1:11" ht="43.2" x14ac:dyDescent="0.3">
      <c r="A1289" s="3" t="s">
        <v>2786</v>
      </c>
      <c r="B1289" s="3" t="str">
        <f>"035734021"</f>
        <v>035734021</v>
      </c>
      <c r="C1289" s="3" t="s">
        <v>2787</v>
      </c>
      <c r="D1289" s="3" t="s">
        <v>2788</v>
      </c>
      <c r="E1289" s="3" t="s">
        <v>1255</v>
      </c>
      <c r="F1289" s="2">
        <v>43255</v>
      </c>
      <c r="G1289" s="2">
        <v>44227</v>
      </c>
      <c r="H1289" s="2072" t="s">
        <v>17</v>
      </c>
      <c r="I1289" s="3" t="s">
        <v>41</v>
      </c>
      <c r="J1289" s="3" t="s">
        <v>19</v>
      </c>
      <c r="K1289" s="3"/>
    </row>
    <row r="1290" spans="1:11" ht="43.2" x14ac:dyDescent="0.3">
      <c r="A1290" s="3" t="s">
        <v>2786</v>
      </c>
      <c r="B1290" s="3" t="str">
        <f>"035734058"</f>
        <v>035734058</v>
      </c>
      <c r="C1290" s="3" t="s">
        <v>2787</v>
      </c>
      <c r="D1290" s="3" t="s">
        <v>2789</v>
      </c>
      <c r="E1290" s="3" t="s">
        <v>1255</v>
      </c>
      <c r="F1290" s="2">
        <v>43535</v>
      </c>
      <c r="G1290" s="2">
        <v>44227</v>
      </c>
      <c r="H1290" s="2073" t="s">
        <v>17</v>
      </c>
      <c r="I1290" s="3" t="s">
        <v>41</v>
      </c>
      <c r="J1290" s="3" t="s">
        <v>19</v>
      </c>
      <c r="K1290" s="3"/>
    </row>
    <row r="1291" spans="1:11" ht="43.2" x14ac:dyDescent="0.3">
      <c r="A1291" s="3" t="s">
        <v>2786</v>
      </c>
      <c r="B1291" s="3" t="str">
        <f>"035734060"</f>
        <v>035734060</v>
      </c>
      <c r="C1291" s="3" t="s">
        <v>2787</v>
      </c>
      <c r="D1291" s="3" t="s">
        <v>2790</v>
      </c>
      <c r="E1291" s="3" t="s">
        <v>1255</v>
      </c>
      <c r="F1291" s="2">
        <v>43392</v>
      </c>
      <c r="G1291" s="2">
        <v>44227</v>
      </c>
      <c r="H1291" s="2074" t="s">
        <v>17</v>
      </c>
      <c r="I1291" s="3" t="s">
        <v>41</v>
      </c>
      <c r="J1291" s="3" t="s">
        <v>19</v>
      </c>
      <c r="K1291" s="3"/>
    </row>
    <row r="1292" spans="1:11" ht="43.2" x14ac:dyDescent="0.3">
      <c r="A1292" s="3" t="s">
        <v>2786</v>
      </c>
      <c r="B1292" s="3" t="str">
        <f>"035734108"</f>
        <v>035734108</v>
      </c>
      <c r="C1292" s="3" t="s">
        <v>2787</v>
      </c>
      <c r="D1292" s="3" t="s">
        <v>2791</v>
      </c>
      <c r="E1292" s="3" t="s">
        <v>1255</v>
      </c>
      <c r="F1292" s="2">
        <v>43654</v>
      </c>
      <c r="G1292" s="2">
        <v>44773</v>
      </c>
      <c r="H1292" s="2075" t="s">
        <v>17</v>
      </c>
      <c r="I1292" s="3" t="s">
        <v>41</v>
      </c>
      <c r="J1292" s="3" t="s">
        <v>19</v>
      </c>
      <c r="K1292" s="3"/>
    </row>
    <row r="1293" spans="1:11" ht="43.2" x14ac:dyDescent="0.3">
      <c r="A1293" s="3" t="s">
        <v>2786</v>
      </c>
      <c r="B1293" s="3" t="str">
        <f>"035734122"</f>
        <v>035734122</v>
      </c>
      <c r="C1293" s="3" t="s">
        <v>2787</v>
      </c>
      <c r="D1293" s="3" t="s">
        <v>2792</v>
      </c>
      <c r="E1293" s="3" t="s">
        <v>1255</v>
      </c>
      <c r="F1293" s="2">
        <v>43700</v>
      </c>
      <c r="G1293" s="2">
        <v>44773</v>
      </c>
      <c r="H1293" s="2076" t="s">
        <v>17</v>
      </c>
      <c r="I1293" s="3" t="s">
        <v>41</v>
      </c>
      <c r="J1293" s="3" t="s">
        <v>19</v>
      </c>
      <c r="K1293" s="3"/>
    </row>
    <row r="1294" spans="1:11" ht="57.6" x14ac:dyDescent="0.3">
      <c r="A1294" s="3" t="s">
        <v>2786</v>
      </c>
      <c r="B1294" s="3" t="str">
        <f>"035734159"</f>
        <v>035734159</v>
      </c>
      <c r="C1294" s="3" t="s">
        <v>2787</v>
      </c>
      <c r="D1294" s="3" t="s">
        <v>2793</v>
      </c>
      <c r="E1294" s="3" t="s">
        <v>1255</v>
      </c>
      <c r="F1294" s="2">
        <v>43319</v>
      </c>
      <c r="G1294" s="2">
        <v>44773</v>
      </c>
      <c r="H1294" s="2077" t="s">
        <v>17</v>
      </c>
      <c r="I1294" s="3" t="s">
        <v>41</v>
      </c>
      <c r="J1294" s="3" t="s">
        <v>19</v>
      </c>
      <c r="K1294" s="3"/>
    </row>
    <row r="1295" spans="1:11" ht="57.6" x14ac:dyDescent="0.3">
      <c r="A1295" s="3" t="s">
        <v>2786</v>
      </c>
      <c r="B1295" s="3" t="str">
        <f>"035734161"</f>
        <v>035734161</v>
      </c>
      <c r="C1295" s="3" t="s">
        <v>2787</v>
      </c>
      <c r="D1295" s="3" t="s">
        <v>2794</v>
      </c>
      <c r="E1295" s="3" t="s">
        <v>1255</v>
      </c>
      <c r="F1295" s="2">
        <v>43395</v>
      </c>
      <c r="G1295" s="2">
        <v>44773</v>
      </c>
      <c r="H1295" s="2078" t="s">
        <v>17</v>
      </c>
      <c r="I1295" s="3" t="s">
        <v>41</v>
      </c>
      <c r="J1295" s="3" t="s">
        <v>19</v>
      </c>
      <c r="K1295" s="3"/>
    </row>
    <row r="1296" spans="1:11" ht="43.2" x14ac:dyDescent="0.3">
      <c r="A1296" s="3" t="s">
        <v>2786</v>
      </c>
      <c r="B1296" s="3" t="str">
        <f>"035734072"</f>
        <v>035734072</v>
      </c>
      <c r="C1296" s="3" t="s">
        <v>2787</v>
      </c>
      <c r="D1296" s="3" t="s">
        <v>2795</v>
      </c>
      <c r="E1296" s="3" t="s">
        <v>1255</v>
      </c>
      <c r="F1296" s="2">
        <v>41107</v>
      </c>
      <c r="G1296" s="2"/>
      <c r="H1296" s="2079" t="s">
        <v>17</v>
      </c>
      <c r="I1296" s="2080" t="s">
        <v>18</v>
      </c>
      <c r="J1296" s="3" t="s">
        <v>19</v>
      </c>
      <c r="K1296" s="3"/>
    </row>
    <row r="1297" spans="1:11" ht="43.2" x14ac:dyDescent="0.3">
      <c r="A1297" s="3" t="s">
        <v>2796</v>
      </c>
      <c r="B1297" s="3" t="str">
        <f>"039439056"</f>
        <v>039439056</v>
      </c>
      <c r="C1297" s="3" t="s">
        <v>2797</v>
      </c>
      <c r="D1297" s="3" t="s">
        <v>2798</v>
      </c>
      <c r="E1297" s="3" t="s">
        <v>83</v>
      </c>
      <c r="F1297" s="2">
        <v>44207</v>
      </c>
      <c r="G1297" s="2"/>
      <c r="H1297" s="2081" t="s">
        <v>17</v>
      </c>
      <c r="I1297" s="3" t="s">
        <v>41</v>
      </c>
      <c r="J1297" s="3" t="s">
        <v>19</v>
      </c>
      <c r="K1297" s="3"/>
    </row>
    <row r="1298" spans="1:11" ht="86.4" x14ac:dyDescent="0.3">
      <c r="A1298" s="3" t="s">
        <v>2799</v>
      </c>
      <c r="B1298" s="3" t="str">
        <f>"039265057"</f>
        <v>039265057</v>
      </c>
      <c r="C1298" s="3" t="s">
        <v>2797</v>
      </c>
      <c r="D1298" s="3" t="s">
        <v>2800</v>
      </c>
      <c r="E1298" s="3" t="s">
        <v>27</v>
      </c>
      <c r="F1298" s="2">
        <v>43962</v>
      </c>
      <c r="G1298" s="2">
        <v>44377</v>
      </c>
      <c r="H1298" s="2082" t="s">
        <v>17</v>
      </c>
      <c r="I1298" s="3" t="s">
        <v>41</v>
      </c>
      <c r="J1298" s="3" t="s">
        <v>19</v>
      </c>
      <c r="K1298" s="3" t="s">
        <v>2801</v>
      </c>
    </row>
    <row r="1299" spans="1:11" ht="43.2" x14ac:dyDescent="0.3">
      <c r="A1299" s="3" t="s">
        <v>2802</v>
      </c>
      <c r="B1299" s="3" t="str">
        <f>"027352020"</f>
        <v>027352020</v>
      </c>
      <c r="C1299" s="3" t="s">
        <v>884</v>
      </c>
      <c r="D1299" s="3" t="s">
        <v>2803</v>
      </c>
      <c r="E1299" s="3" t="s">
        <v>425</v>
      </c>
      <c r="F1299" s="2">
        <v>42940</v>
      </c>
      <c r="G1299" s="2"/>
      <c r="H1299" s="2083" t="s">
        <v>17</v>
      </c>
      <c r="I1299" s="2084" t="s">
        <v>18</v>
      </c>
      <c r="J1299" s="3" t="s">
        <v>19</v>
      </c>
      <c r="K1299" s="3"/>
    </row>
    <row r="1300" spans="1:11" ht="43.2" x14ac:dyDescent="0.3">
      <c r="A1300" s="3" t="s">
        <v>2804</v>
      </c>
      <c r="B1300" s="3" t="str">
        <f>"026752067"</f>
        <v>026752067</v>
      </c>
      <c r="C1300" s="3" t="s">
        <v>1351</v>
      </c>
      <c r="D1300" s="3" t="s">
        <v>2805</v>
      </c>
      <c r="E1300" s="3" t="s">
        <v>501</v>
      </c>
      <c r="F1300" s="2">
        <v>44227</v>
      </c>
      <c r="G1300" s="2">
        <v>44255</v>
      </c>
      <c r="H1300" s="2085" t="s">
        <v>17</v>
      </c>
      <c r="I1300" s="3" t="s">
        <v>41</v>
      </c>
      <c r="J1300" s="3" t="s">
        <v>19</v>
      </c>
      <c r="K1300" s="3" t="s">
        <v>2806</v>
      </c>
    </row>
    <row r="1301" spans="1:11" ht="43.2" x14ac:dyDescent="0.3">
      <c r="A1301" s="3" t="s">
        <v>2807</v>
      </c>
      <c r="B1301" s="3" t="str">
        <f>"033940065"</f>
        <v>033940065</v>
      </c>
      <c r="C1301" s="3" t="s">
        <v>2808</v>
      </c>
      <c r="D1301" s="3" t="s">
        <v>2809</v>
      </c>
      <c r="E1301" s="3" t="s">
        <v>604</v>
      </c>
      <c r="F1301" s="2">
        <v>42720</v>
      </c>
      <c r="G1301" s="2"/>
      <c r="H1301" s="2086" t="s">
        <v>17</v>
      </c>
      <c r="I1301" s="2087" t="s">
        <v>18</v>
      </c>
      <c r="J1301" s="3" t="s">
        <v>19</v>
      </c>
      <c r="K1301" s="3"/>
    </row>
    <row r="1302" spans="1:11" ht="43.2" x14ac:dyDescent="0.3">
      <c r="A1302" s="3" t="s">
        <v>2810</v>
      </c>
      <c r="B1302" s="3" t="str">
        <f>"022905121"</f>
        <v>022905121</v>
      </c>
      <c r="C1302" s="3" t="s">
        <v>816</v>
      </c>
      <c r="D1302" s="3" t="s">
        <v>2811</v>
      </c>
      <c r="E1302" s="3" t="s">
        <v>2812</v>
      </c>
      <c r="F1302" s="2">
        <v>43563</v>
      </c>
      <c r="G1302" s="2"/>
      <c r="H1302" s="2088" t="s">
        <v>17</v>
      </c>
      <c r="I1302" s="2089" t="s">
        <v>18</v>
      </c>
      <c r="J1302" s="3" t="s">
        <v>19</v>
      </c>
      <c r="K1302" s="3"/>
    </row>
    <row r="1303" spans="1:11" ht="43.2" x14ac:dyDescent="0.3">
      <c r="A1303" s="3" t="s">
        <v>2813</v>
      </c>
      <c r="B1303" s="3" t="str">
        <f>"023483035"</f>
        <v>023483035</v>
      </c>
      <c r="C1303" s="3" t="s">
        <v>2814</v>
      </c>
      <c r="D1303" s="3" t="s">
        <v>2815</v>
      </c>
      <c r="E1303" s="3" t="s">
        <v>576</v>
      </c>
      <c r="F1303" s="2">
        <v>43861</v>
      </c>
      <c r="G1303" s="2"/>
      <c r="H1303" s="2090" t="s">
        <v>37</v>
      </c>
      <c r="I1303" s="2091" t="s">
        <v>18</v>
      </c>
      <c r="J1303" s="3" t="s">
        <v>19</v>
      </c>
      <c r="K1303" s="3"/>
    </row>
    <row r="1304" spans="1:11" ht="43.2" x14ac:dyDescent="0.3">
      <c r="A1304" s="3" t="s">
        <v>2816</v>
      </c>
      <c r="B1304" s="3" t="str">
        <f>"019711035"</f>
        <v>019711035</v>
      </c>
      <c r="C1304" s="3" t="s">
        <v>2817</v>
      </c>
      <c r="D1304" s="3" t="s">
        <v>2818</v>
      </c>
      <c r="E1304" s="3" t="s">
        <v>270</v>
      </c>
      <c r="F1304" s="2">
        <v>43966</v>
      </c>
      <c r="G1304" s="2"/>
      <c r="H1304" s="2092" t="s">
        <v>37</v>
      </c>
      <c r="I1304" s="2093" t="s">
        <v>18</v>
      </c>
      <c r="J1304" s="3" t="s">
        <v>19</v>
      </c>
      <c r="K1304" s="3"/>
    </row>
    <row r="1305" spans="1:11" ht="57.6" x14ac:dyDescent="0.3">
      <c r="A1305" s="3" t="s">
        <v>2819</v>
      </c>
      <c r="B1305" s="3" t="str">
        <f>"024475067"</f>
        <v>024475067</v>
      </c>
      <c r="C1305" s="3" t="s">
        <v>310</v>
      </c>
      <c r="D1305" s="3" t="s">
        <v>2820</v>
      </c>
      <c r="E1305" s="3" t="s">
        <v>147</v>
      </c>
      <c r="F1305" s="2">
        <v>43889</v>
      </c>
      <c r="G1305" s="2"/>
      <c r="H1305" s="2094" t="s">
        <v>17</v>
      </c>
      <c r="I1305" s="3" t="s">
        <v>41</v>
      </c>
      <c r="J1305" s="3" t="s">
        <v>19</v>
      </c>
      <c r="K1305" s="3"/>
    </row>
    <row r="1306" spans="1:11" ht="43.2" x14ac:dyDescent="0.3">
      <c r="A1306" s="3" t="s">
        <v>2821</v>
      </c>
      <c r="B1306" s="3" t="str">
        <f>"043456021"</f>
        <v>043456021</v>
      </c>
      <c r="C1306" s="3" t="s">
        <v>2822</v>
      </c>
      <c r="D1306" s="3" t="s">
        <v>2823</v>
      </c>
      <c r="E1306" s="3" t="s">
        <v>16</v>
      </c>
      <c r="F1306" s="2">
        <v>44129</v>
      </c>
      <c r="G1306" s="2">
        <v>44227</v>
      </c>
      <c r="H1306" s="2095" t="s">
        <v>17</v>
      </c>
      <c r="I1306" s="3" t="s">
        <v>41</v>
      </c>
      <c r="J1306" s="3" t="s">
        <v>19</v>
      </c>
      <c r="K1306" s="3"/>
    </row>
    <row r="1307" spans="1:11" ht="57.6" x14ac:dyDescent="0.3">
      <c r="A1307" s="3" t="s">
        <v>2824</v>
      </c>
      <c r="B1307" s="3" t="str">
        <f>"045707015"</f>
        <v>045707015</v>
      </c>
      <c r="C1307" s="3" t="s">
        <v>2822</v>
      </c>
      <c r="D1307" s="3" t="s">
        <v>2825</v>
      </c>
      <c r="E1307" s="3" t="s">
        <v>16</v>
      </c>
      <c r="F1307" s="2">
        <v>43936</v>
      </c>
      <c r="G1307" s="2">
        <v>44104</v>
      </c>
      <c r="H1307" s="2096" t="s">
        <v>17</v>
      </c>
      <c r="I1307" s="3" t="s">
        <v>178</v>
      </c>
      <c r="J1307" s="3" t="s">
        <v>156</v>
      </c>
      <c r="K1307" s="3"/>
    </row>
    <row r="1308" spans="1:11" ht="43.2" x14ac:dyDescent="0.3">
      <c r="A1308" s="3" t="s">
        <v>2826</v>
      </c>
      <c r="B1308" s="3" t="str">
        <f>"044842021"</f>
        <v>044842021</v>
      </c>
      <c r="C1308" s="3" t="s">
        <v>2822</v>
      </c>
      <c r="D1308" s="3" t="s">
        <v>2823</v>
      </c>
      <c r="E1308" s="3" t="s">
        <v>239</v>
      </c>
      <c r="F1308" s="2">
        <v>44248</v>
      </c>
      <c r="G1308" s="2"/>
      <c r="H1308" s="2097" t="s">
        <v>17</v>
      </c>
      <c r="I1308" s="2098" t="s">
        <v>18</v>
      </c>
      <c r="J1308" s="3" t="s">
        <v>19</v>
      </c>
      <c r="K1308" s="3"/>
    </row>
    <row r="1309" spans="1:11" ht="43.2" x14ac:dyDescent="0.3">
      <c r="A1309" s="3" t="s">
        <v>2827</v>
      </c>
      <c r="B1309" s="3" t="str">
        <f>"044499085"</f>
        <v>044499085</v>
      </c>
      <c r="C1309" s="3" t="s">
        <v>2822</v>
      </c>
      <c r="D1309" s="3" t="s">
        <v>2828</v>
      </c>
      <c r="E1309" s="3" t="s">
        <v>56</v>
      </c>
      <c r="F1309" s="2">
        <v>44255</v>
      </c>
      <c r="G1309" s="2"/>
      <c r="H1309" s="2099" t="s">
        <v>17</v>
      </c>
      <c r="I1309" s="2100" t="s">
        <v>18</v>
      </c>
      <c r="J1309" s="3" t="s">
        <v>19</v>
      </c>
      <c r="K1309" s="3"/>
    </row>
    <row r="1310" spans="1:11" ht="43.2" x14ac:dyDescent="0.3">
      <c r="A1310" s="3" t="s">
        <v>2829</v>
      </c>
      <c r="B1310" s="3" t="str">
        <f>"043621022"</f>
        <v>043621022</v>
      </c>
      <c r="C1310" s="3" t="s">
        <v>2822</v>
      </c>
      <c r="D1310" s="3" t="s">
        <v>2830</v>
      </c>
      <c r="E1310" s="3" t="s">
        <v>56</v>
      </c>
      <c r="F1310" s="2">
        <v>44470</v>
      </c>
      <c r="G1310" s="2"/>
      <c r="H1310" s="2101" t="s">
        <v>17</v>
      </c>
      <c r="I1310" s="2102" t="s">
        <v>18</v>
      </c>
      <c r="J1310" s="3" t="s">
        <v>19</v>
      </c>
      <c r="K1310" s="3"/>
    </row>
    <row r="1311" spans="1:11" ht="43.2" x14ac:dyDescent="0.3">
      <c r="A1311" s="3" t="s">
        <v>2831</v>
      </c>
      <c r="B1311" s="3" t="str">
        <f>"043491012"</f>
        <v>043491012</v>
      </c>
      <c r="C1311" s="3" t="s">
        <v>2822</v>
      </c>
      <c r="D1311" s="3" t="s">
        <v>2832</v>
      </c>
      <c r="E1311" s="3" t="s">
        <v>107</v>
      </c>
      <c r="F1311" s="2">
        <v>44013</v>
      </c>
      <c r="G1311" s="2"/>
      <c r="H1311" s="2103" t="s">
        <v>17</v>
      </c>
      <c r="I1311" s="2104" t="s">
        <v>18</v>
      </c>
      <c r="J1311" s="3" t="s">
        <v>19</v>
      </c>
      <c r="K1311" s="3"/>
    </row>
    <row r="1312" spans="1:11" ht="43.2" x14ac:dyDescent="0.3">
      <c r="A1312" s="3" t="s">
        <v>2833</v>
      </c>
      <c r="B1312" s="3" t="str">
        <f>"043122098"</f>
        <v>043122098</v>
      </c>
      <c r="C1312" s="3" t="s">
        <v>2822</v>
      </c>
      <c r="D1312" s="3" t="s">
        <v>2834</v>
      </c>
      <c r="E1312" s="3" t="s">
        <v>27</v>
      </c>
      <c r="F1312" s="2">
        <v>44247</v>
      </c>
      <c r="G1312" s="2">
        <v>44408</v>
      </c>
      <c r="H1312" s="2105" t="s">
        <v>17</v>
      </c>
      <c r="I1312" s="3" t="s">
        <v>526</v>
      </c>
      <c r="J1312" s="3" t="s">
        <v>19</v>
      </c>
      <c r="K1312" s="3"/>
    </row>
    <row r="1313" spans="1:11" ht="43.2" x14ac:dyDescent="0.3">
      <c r="A1313" s="3" t="s">
        <v>2835</v>
      </c>
      <c r="B1313" s="3" t="str">
        <f>"036929014"</f>
        <v>036929014</v>
      </c>
      <c r="C1313" s="3" t="s">
        <v>1874</v>
      </c>
      <c r="D1313" s="3" t="s">
        <v>2836</v>
      </c>
      <c r="E1313" s="3" t="s">
        <v>1123</v>
      </c>
      <c r="F1313" s="2">
        <v>43616</v>
      </c>
      <c r="G1313" s="2"/>
      <c r="H1313" s="2106" t="s">
        <v>17</v>
      </c>
      <c r="I1313" s="2107" t="s">
        <v>18</v>
      </c>
      <c r="J1313" s="3" t="s">
        <v>19</v>
      </c>
      <c r="K1313" s="3"/>
    </row>
    <row r="1314" spans="1:11" ht="43.2" x14ac:dyDescent="0.3">
      <c r="A1314" s="3" t="s">
        <v>2837</v>
      </c>
      <c r="B1314" s="3" t="str">
        <f>"035790017"</f>
        <v>035790017</v>
      </c>
      <c r="C1314" s="3" t="s">
        <v>2838</v>
      </c>
      <c r="D1314" s="3" t="s">
        <v>2839</v>
      </c>
      <c r="E1314" s="3" t="s">
        <v>1123</v>
      </c>
      <c r="F1314" s="2">
        <v>44074</v>
      </c>
      <c r="G1314" s="2"/>
      <c r="H1314" s="2108" t="s">
        <v>17</v>
      </c>
      <c r="I1314" s="2109" t="s">
        <v>18</v>
      </c>
      <c r="J1314" s="3" t="s">
        <v>19</v>
      </c>
      <c r="K1314" s="3"/>
    </row>
    <row r="1315" spans="1:11" ht="43.2" x14ac:dyDescent="0.3">
      <c r="A1315" s="3" t="s">
        <v>2840</v>
      </c>
      <c r="B1315" s="3" t="str">
        <f>"029199027"</f>
        <v>029199027</v>
      </c>
      <c r="C1315" s="3" t="s">
        <v>2755</v>
      </c>
      <c r="D1315" s="3" t="s">
        <v>2841</v>
      </c>
      <c r="E1315" s="3" t="s">
        <v>1416</v>
      </c>
      <c r="F1315" s="2">
        <v>42931</v>
      </c>
      <c r="G1315" s="2"/>
      <c r="H1315" s="2110" t="s">
        <v>37</v>
      </c>
      <c r="I1315" s="2111" t="s">
        <v>18</v>
      </c>
      <c r="J1315" s="3" t="s">
        <v>19</v>
      </c>
      <c r="K1315" s="3"/>
    </row>
    <row r="1316" spans="1:11" ht="72" x14ac:dyDescent="0.3">
      <c r="A1316" s="3" t="s">
        <v>2842</v>
      </c>
      <c r="B1316" s="3" t="str">
        <f>"039507013"</f>
        <v>039507013</v>
      </c>
      <c r="C1316" s="3" t="s">
        <v>2843</v>
      </c>
      <c r="D1316" s="3" t="s">
        <v>2844</v>
      </c>
      <c r="E1316" s="3" t="s">
        <v>147</v>
      </c>
      <c r="F1316" s="2">
        <v>43139</v>
      </c>
      <c r="G1316" s="2"/>
      <c r="H1316" s="2112" t="s">
        <v>17</v>
      </c>
      <c r="I1316" s="3" t="s">
        <v>41</v>
      </c>
      <c r="J1316" s="3" t="s">
        <v>19</v>
      </c>
      <c r="K1316" s="3"/>
    </row>
    <row r="1317" spans="1:11" ht="43.2" x14ac:dyDescent="0.3">
      <c r="A1317" s="3" t="s">
        <v>2845</v>
      </c>
      <c r="B1317" s="3" t="str">
        <f>"023185073"</f>
        <v>023185073</v>
      </c>
      <c r="C1317" s="3" t="s">
        <v>2846</v>
      </c>
      <c r="D1317" s="3" t="s">
        <v>2847</v>
      </c>
      <c r="E1317" s="3" t="s">
        <v>161</v>
      </c>
      <c r="F1317" s="2">
        <v>42082</v>
      </c>
      <c r="G1317" s="2"/>
      <c r="H1317" s="2113" t="s">
        <v>17</v>
      </c>
      <c r="I1317" s="2114" t="s">
        <v>18</v>
      </c>
      <c r="J1317" s="3" t="s">
        <v>19</v>
      </c>
      <c r="K1317" s="3"/>
    </row>
    <row r="1318" spans="1:11" ht="43.2" x14ac:dyDescent="0.3">
      <c r="A1318" s="3" t="s">
        <v>2848</v>
      </c>
      <c r="B1318" s="3" t="str">
        <f>"019396050"</f>
        <v>019396050</v>
      </c>
      <c r="C1318" s="3" t="s">
        <v>2849</v>
      </c>
      <c r="D1318" s="3" t="s">
        <v>2850</v>
      </c>
      <c r="E1318" s="3" t="s">
        <v>161</v>
      </c>
      <c r="F1318" s="2">
        <v>44255</v>
      </c>
      <c r="G1318" s="2"/>
      <c r="H1318" s="2115" t="s">
        <v>17</v>
      </c>
      <c r="I1318" s="2116" t="s">
        <v>18</v>
      </c>
      <c r="J1318" s="3" t="s">
        <v>19</v>
      </c>
      <c r="K1318" s="3"/>
    </row>
    <row r="1319" spans="1:11" ht="43.2" x14ac:dyDescent="0.3">
      <c r="A1319" s="3" t="s">
        <v>2851</v>
      </c>
      <c r="B1319" s="3" t="str">
        <f>"004446050"</f>
        <v>004446050</v>
      </c>
      <c r="C1319" s="3" t="s">
        <v>2852</v>
      </c>
      <c r="D1319" s="3" t="s">
        <v>2853</v>
      </c>
      <c r="E1319" s="3" t="s">
        <v>1102</v>
      </c>
      <c r="F1319" s="2">
        <v>41974</v>
      </c>
      <c r="G1319" s="2"/>
      <c r="H1319" s="2117" t="s">
        <v>37</v>
      </c>
      <c r="I1319" s="2118" t="s">
        <v>18</v>
      </c>
      <c r="J1319" s="3" t="s">
        <v>19</v>
      </c>
      <c r="K1319" s="3"/>
    </row>
    <row r="1320" spans="1:11" ht="43.2" x14ac:dyDescent="0.3">
      <c r="A1320" s="3" t="s">
        <v>2854</v>
      </c>
      <c r="B1320" s="3" t="str">
        <f>"024615080"</f>
        <v>024615080</v>
      </c>
      <c r="C1320" s="3" t="s">
        <v>94</v>
      </c>
      <c r="D1320" s="3" t="s">
        <v>2855</v>
      </c>
      <c r="E1320" s="3" t="s">
        <v>24</v>
      </c>
      <c r="F1320" s="2">
        <v>44075</v>
      </c>
      <c r="G1320" s="2"/>
      <c r="H1320" s="2119" t="s">
        <v>17</v>
      </c>
      <c r="I1320" s="2120" t="s">
        <v>18</v>
      </c>
      <c r="J1320" s="3" t="s">
        <v>19</v>
      </c>
      <c r="K1320" s="3"/>
    </row>
    <row r="1321" spans="1:11" ht="43.2" x14ac:dyDescent="0.3">
      <c r="A1321" s="3" t="s">
        <v>2854</v>
      </c>
      <c r="B1321" s="3" t="str">
        <f>"024615092"</f>
        <v>024615092</v>
      </c>
      <c r="C1321" s="3" t="s">
        <v>94</v>
      </c>
      <c r="D1321" s="3" t="s">
        <v>2856</v>
      </c>
      <c r="E1321" s="3" t="s">
        <v>24</v>
      </c>
      <c r="F1321" s="2">
        <v>42124</v>
      </c>
      <c r="G1321" s="2"/>
      <c r="H1321" s="2121" t="s">
        <v>17</v>
      </c>
      <c r="I1321" s="2122" t="s">
        <v>18</v>
      </c>
      <c r="J1321" s="3" t="s">
        <v>19</v>
      </c>
      <c r="K1321" s="3"/>
    </row>
    <row r="1322" spans="1:11" ht="43.2" x14ac:dyDescent="0.3">
      <c r="A1322" s="3" t="s">
        <v>2857</v>
      </c>
      <c r="B1322" s="3" t="str">
        <f>"028035018"</f>
        <v>028035018</v>
      </c>
      <c r="C1322" s="3" t="s">
        <v>2858</v>
      </c>
      <c r="D1322" s="3" t="s">
        <v>2859</v>
      </c>
      <c r="E1322" s="3" t="s">
        <v>438</v>
      </c>
      <c r="F1322" s="2">
        <v>43861</v>
      </c>
      <c r="G1322" s="2">
        <v>44377</v>
      </c>
      <c r="H1322" s="2123" t="s">
        <v>17</v>
      </c>
      <c r="I1322" s="3" t="s">
        <v>152</v>
      </c>
      <c r="J1322" s="3" t="s">
        <v>19</v>
      </c>
      <c r="K1322" s="3"/>
    </row>
    <row r="1323" spans="1:11" ht="57.6" x14ac:dyDescent="0.3">
      <c r="A1323" s="3" t="s">
        <v>2860</v>
      </c>
      <c r="B1323" s="3" t="str">
        <f>"044315137"</f>
        <v>044315137</v>
      </c>
      <c r="C1323" s="3" t="s">
        <v>2861</v>
      </c>
      <c r="D1323" s="3" t="s">
        <v>2862</v>
      </c>
      <c r="E1323" s="3" t="s">
        <v>2863</v>
      </c>
      <c r="F1323" s="2">
        <v>43616</v>
      </c>
      <c r="G1323" s="2"/>
      <c r="H1323" s="2124" t="s">
        <v>17</v>
      </c>
      <c r="I1323" s="2125" t="s">
        <v>18</v>
      </c>
      <c r="J1323" s="3" t="s">
        <v>19</v>
      </c>
      <c r="K1323" s="3"/>
    </row>
    <row r="1324" spans="1:11" ht="57.6" x14ac:dyDescent="0.3">
      <c r="A1324" s="3" t="s">
        <v>2860</v>
      </c>
      <c r="B1324" s="3" t="str">
        <f>"044315149"</f>
        <v>044315149</v>
      </c>
      <c r="C1324" s="3" t="s">
        <v>2861</v>
      </c>
      <c r="D1324" s="3" t="s">
        <v>2864</v>
      </c>
      <c r="E1324" s="3" t="s">
        <v>2863</v>
      </c>
      <c r="F1324" s="2">
        <v>43373</v>
      </c>
      <c r="G1324" s="2"/>
      <c r="H1324" s="2126" t="s">
        <v>17</v>
      </c>
      <c r="I1324" s="2127" t="s">
        <v>18</v>
      </c>
      <c r="J1324" s="3" t="s">
        <v>19</v>
      </c>
      <c r="K1324" s="3"/>
    </row>
    <row r="1325" spans="1:11" ht="57.6" x14ac:dyDescent="0.3">
      <c r="A1325" s="3" t="s">
        <v>2860</v>
      </c>
      <c r="B1325" s="3" t="str">
        <f>"044315164"</f>
        <v>044315164</v>
      </c>
      <c r="C1325" s="3" t="s">
        <v>2861</v>
      </c>
      <c r="D1325" s="3" t="s">
        <v>2865</v>
      </c>
      <c r="E1325" s="3" t="s">
        <v>2863</v>
      </c>
      <c r="F1325" s="2">
        <v>43769</v>
      </c>
      <c r="G1325" s="2"/>
      <c r="H1325" s="2128" t="s">
        <v>17</v>
      </c>
      <c r="I1325" s="2129" t="s">
        <v>18</v>
      </c>
      <c r="J1325" s="3" t="s">
        <v>19</v>
      </c>
      <c r="K1325" s="3"/>
    </row>
    <row r="1326" spans="1:11" ht="57.6" x14ac:dyDescent="0.3">
      <c r="A1326" s="3" t="s">
        <v>2860</v>
      </c>
      <c r="B1326" s="3" t="str">
        <f>"044315265"</f>
        <v>044315265</v>
      </c>
      <c r="C1326" s="3" t="s">
        <v>2861</v>
      </c>
      <c r="D1326" s="3" t="s">
        <v>2866</v>
      </c>
      <c r="E1326" s="3" t="s">
        <v>2863</v>
      </c>
      <c r="F1326" s="2">
        <v>43404</v>
      </c>
      <c r="G1326" s="2"/>
      <c r="H1326" s="2130" t="s">
        <v>17</v>
      </c>
      <c r="I1326" s="2131" t="s">
        <v>18</v>
      </c>
      <c r="J1326" s="3" t="s">
        <v>19</v>
      </c>
      <c r="K1326" s="3"/>
    </row>
    <row r="1327" spans="1:11" ht="57.6" x14ac:dyDescent="0.3">
      <c r="A1327" s="3" t="s">
        <v>2860</v>
      </c>
      <c r="B1327" s="3" t="str">
        <f>"044315277"</f>
        <v>044315277</v>
      </c>
      <c r="C1327" s="3" t="s">
        <v>2861</v>
      </c>
      <c r="D1327" s="3" t="s">
        <v>2867</v>
      </c>
      <c r="E1327" s="3" t="s">
        <v>2863</v>
      </c>
      <c r="F1327" s="2">
        <v>43434</v>
      </c>
      <c r="G1327" s="2"/>
      <c r="H1327" s="2132" t="s">
        <v>17</v>
      </c>
      <c r="I1327" s="2133" t="s">
        <v>18</v>
      </c>
      <c r="J1327" s="3" t="s">
        <v>19</v>
      </c>
      <c r="K1327" s="3"/>
    </row>
    <row r="1328" spans="1:11" ht="43.2" x14ac:dyDescent="0.3">
      <c r="A1328" s="3" t="s">
        <v>2868</v>
      </c>
      <c r="B1328" s="3" t="str">
        <f>"039446012"</f>
        <v>039446012</v>
      </c>
      <c r="C1328" s="3" t="s">
        <v>1441</v>
      </c>
      <c r="D1328" s="3" t="s">
        <v>2869</v>
      </c>
      <c r="E1328" s="3" t="s">
        <v>107</v>
      </c>
      <c r="F1328" s="2">
        <v>42702</v>
      </c>
      <c r="G1328" s="2"/>
      <c r="H1328" s="2134" t="s">
        <v>17</v>
      </c>
      <c r="I1328" s="2135" t="s">
        <v>18</v>
      </c>
      <c r="J1328" s="3" t="s">
        <v>19</v>
      </c>
      <c r="K1328" s="3"/>
    </row>
    <row r="1329" spans="1:11" ht="43.2" x14ac:dyDescent="0.3">
      <c r="A1329" s="3" t="s">
        <v>2870</v>
      </c>
      <c r="B1329" s="3" t="str">
        <f>"042744021"</f>
        <v>042744021</v>
      </c>
      <c r="C1329" s="3" t="s">
        <v>2871</v>
      </c>
      <c r="D1329" s="3" t="s">
        <v>2872</v>
      </c>
      <c r="E1329" s="3" t="s">
        <v>107</v>
      </c>
      <c r="F1329" s="2">
        <v>43052</v>
      </c>
      <c r="G1329" s="2"/>
      <c r="H1329" s="2136" t="s">
        <v>17</v>
      </c>
      <c r="I1329" s="2137" t="s">
        <v>18</v>
      </c>
      <c r="J1329" s="3" t="s">
        <v>19</v>
      </c>
      <c r="K1329" s="3"/>
    </row>
    <row r="1330" spans="1:11" ht="43.2" x14ac:dyDescent="0.3">
      <c r="A1330" s="3" t="s">
        <v>2873</v>
      </c>
      <c r="B1330" s="3" t="str">
        <f>"020613042"</f>
        <v>020613042</v>
      </c>
      <c r="C1330" s="3" t="s">
        <v>2874</v>
      </c>
      <c r="D1330" s="3" t="s">
        <v>2875</v>
      </c>
      <c r="E1330" s="3" t="s">
        <v>873</v>
      </c>
      <c r="F1330" s="2">
        <v>43191</v>
      </c>
      <c r="G1330" s="2"/>
      <c r="H1330" s="2138" t="s">
        <v>37</v>
      </c>
      <c r="I1330" s="2139" t="s">
        <v>32</v>
      </c>
      <c r="J1330" s="3" t="s">
        <v>19</v>
      </c>
      <c r="K1330" s="3"/>
    </row>
    <row r="1331" spans="1:11" ht="57.6" x14ac:dyDescent="0.3">
      <c r="A1331" s="3" t="s">
        <v>2873</v>
      </c>
      <c r="B1331" s="3" t="str">
        <f>"020613117"</f>
        <v>020613117</v>
      </c>
      <c r="C1331" s="3" t="s">
        <v>2874</v>
      </c>
      <c r="D1331" s="3" t="s">
        <v>2876</v>
      </c>
      <c r="E1331" s="3" t="s">
        <v>873</v>
      </c>
      <c r="F1331" s="2">
        <v>42951</v>
      </c>
      <c r="G1331" s="2"/>
      <c r="H1331" s="2140" t="s">
        <v>17</v>
      </c>
      <c r="I1331" s="2141" t="s">
        <v>32</v>
      </c>
      <c r="J1331" s="3" t="s">
        <v>19</v>
      </c>
      <c r="K1331" s="3"/>
    </row>
    <row r="1332" spans="1:11" ht="57.6" x14ac:dyDescent="0.3">
      <c r="A1332" s="3" t="s">
        <v>2873</v>
      </c>
      <c r="B1332" s="3" t="str">
        <f>"020613105"</f>
        <v>020613105</v>
      </c>
      <c r="C1332" s="3" t="s">
        <v>2874</v>
      </c>
      <c r="D1332" s="3" t="s">
        <v>2877</v>
      </c>
      <c r="E1332" s="3" t="s">
        <v>873</v>
      </c>
      <c r="F1332" s="2">
        <v>42951</v>
      </c>
      <c r="G1332" s="2"/>
      <c r="H1332" s="2142" t="s">
        <v>17</v>
      </c>
      <c r="I1332" s="2143" t="s">
        <v>32</v>
      </c>
      <c r="J1332" s="3" t="s">
        <v>19</v>
      </c>
      <c r="K1332" s="3"/>
    </row>
    <row r="1333" spans="1:11" ht="43.2" x14ac:dyDescent="0.3">
      <c r="A1333" s="3" t="s">
        <v>2878</v>
      </c>
      <c r="B1333" s="3" t="str">
        <f>"037651015"</f>
        <v>037651015</v>
      </c>
      <c r="C1333" s="3" t="s">
        <v>1870</v>
      </c>
      <c r="D1333" s="3" t="s">
        <v>2879</v>
      </c>
      <c r="E1333" s="3" t="s">
        <v>126</v>
      </c>
      <c r="F1333" s="2">
        <v>43221</v>
      </c>
      <c r="G1333" s="2"/>
      <c r="H1333" s="2144" t="s">
        <v>17</v>
      </c>
      <c r="I1333" s="2145" t="s">
        <v>32</v>
      </c>
      <c r="J1333" s="3" t="s">
        <v>19</v>
      </c>
      <c r="K1333" s="3"/>
    </row>
    <row r="1334" spans="1:11" ht="43.2" x14ac:dyDescent="0.3">
      <c r="A1334" s="3" t="s">
        <v>2878</v>
      </c>
      <c r="B1334" s="3" t="str">
        <f>"037651027"</f>
        <v>037651027</v>
      </c>
      <c r="C1334" s="3" t="s">
        <v>1870</v>
      </c>
      <c r="D1334" s="3" t="s">
        <v>2880</v>
      </c>
      <c r="E1334" s="3" t="s">
        <v>126</v>
      </c>
      <c r="F1334" s="2">
        <v>43221</v>
      </c>
      <c r="G1334" s="2"/>
      <c r="H1334" s="2146" t="s">
        <v>17</v>
      </c>
      <c r="I1334" s="2147" t="s">
        <v>32</v>
      </c>
      <c r="J1334" s="3" t="s">
        <v>19</v>
      </c>
      <c r="K1334" s="3"/>
    </row>
    <row r="1335" spans="1:11" ht="43.2" x14ac:dyDescent="0.3">
      <c r="A1335" s="3" t="s">
        <v>2881</v>
      </c>
      <c r="B1335" s="3" t="str">
        <f>"022319038"</f>
        <v>022319038</v>
      </c>
      <c r="C1335" s="3" t="s">
        <v>2882</v>
      </c>
      <c r="D1335" s="3" t="s">
        <v>2883</v>
      </c>
      <c r="E1335" s="3" t="s">
        <v>161</v>
      </c>
      <c r="F1335" s="2">
        <v>43727</v>
      </c>
      <c r="G1335" s="2"/>
      <c r="H1335" s="2148" t="s">
        <v>37</v>
      </c>
      <c r="I1335" s="2149" t="s">
        <v>18</v>
      </c>
      <c r="J1335" s="3" t="s">
        <v>19</v>
      </c>
      <c r="K1335" s="3"/>
    </row>
    <row r="1336" spans="1:11" ht="43.2" x14ac:dyDescent="0.3">
      <c r="A1336" s="3" t="s">
        <v>2881</v>
      </c>
      <c r="B1336" s="3" t="str">
        <f>"022319065"</f>
        <v>022319065</v>
      </c>
      <c r="C1336" s="3" t="s">
        <v>2882</v>
      </c>
      <c r="D1336" s="3" t="s">
        <v>2884</v>
      </c>
      <c r="E1336" s="3" t="s">
        <v>161</v>
      </c>
      <c r="F1336" s="2">
        <v>43900</v>
      </c>
      <c r="G1336" s="2"/>
      <c r="H1336" s="2150" t="s">
        <v>37</v>
      </c>
      <c r="I1336" s="2151" t="s">
        <v>18</v>
      </c>
      <c r="J1336" s="3" t="s">
        <v>19</v>
      </c>
      <c r="K1336" s="3"/>
    </row>
    <row r="1337" spans="1:11" ht="43.2" x14ac:dyDescent="0.3">
      <c r="A1337" s="3" t="s">
        <v>2881</v>
      </c>
      <c r="B1337" s="3" t="str">
        <f>"022319077"</f>
        <v>022319077</v>
      </c>
      <c r="C1337" s="3" t="s">
        <v>2882</v>
      </c>
      <c r="D1337" s="3" t="s">
        <v>2885</v>
      </c>
      <c r="E1337" s="3" t="s">
        <v>161</v>
      </c>
      <c r="F1337" s="2">
        <v>43727</v>
      </c>
      <c r="G1337" s="2"/>
      <c r="H1337" s="2152" t="s">
        <v>37</v>
      </c>
      <c r="I1337" s="2153" t="s">
        <v>18</v>
      </c>
      <c r="J1337" s="3" t="s">
        <v>19</v>
      </c>
      <c r="K1337" s="3"/>
    </row>
    <row r="1338" spans="1:11" ht="43.2" x14ac:dyDescent="0.3">
      <c r="A1338" s="3" t="s">
        <v>2886</v>
      </c>
      <c r="B1338" s="3" t="str">
        <f>"020204095"</f>
        <v>020204095</v>
      </c>
      <c r="C1338" s="3" t="s">
        <v>2887</v>
      </c>
      <c r="D1338" s="3" t="s">
        <v>2888</v>
      </c>
      <c r="E1338" s="3" t="s">
        <v>198</v>
      </c>
      <c r="F1338" s="2">
        <v>43528</v>
      </c>
      <c r="G1338" s="2"/>
      <c r="H1338" s="2154" t="s">
        <v>37</v>
      </c>
      <c r="I1338" s="2155" t="s">
        <v>18</v>
      </c>
      <c r="J1338" s="3" t="s">
        <v>19</v>
      </c>
      <c r="K1338" s="3"/>
    </row>
    <row r="1339" spans="1:11" ht="43.2" x14ac:dyDescent="0.3">
      <c r="A1339" s="3" t="s">
        <v>2886</v>
      </c>
      <c r="B1339" s="3" t="str">
        <f>"020204107"</f>
        <v>020204107</v>
      </c>
      <c r="C1339" s="3" t="s">
        <v>2887</v>
      </c>
      <c r="D1339" s="3" t="s">
        <v>2889</v>
      </c>
      <c r="E1339" s="3" t="s">
        <v>198</v>
      </c>
      <c r="F1339" s="2">
        <v>43958</v>
      </c>
      <c r="G1339" s="2"/>
      <c r="H1339" s="2156" t="s">
        <v>37</v>
      </c>
      <c r="I1339" s="2157" t="s">
        <v>18</v>
      </c>
      <c r="J1339" s="3" t="s">
        <v>19</v>
      </c>
      <c r="K1339" s="3"/>
    </row>
    <row r="1340" spans="1:11" ht="43.2" x14ac:dyDescent="0.3">
      <c r="A1340" s="3" t="s">
        <v>2890</v>
      </c>
      <c r="B1340" s="3" t="str">
        <f>"027104013"</f>
        <v>027104013</v>
      </c>
      <c r="C1340" s="3" t="s">
        <v>2891</v>
      </c>
      <c r="D1340" s="3" t="s">
        <v>2892</v>
      </c>
      <c r="E1340" s="3" t="s">
        <v>1416</v>
      </c>
      <c r="F1340" s="2">
        <v>42735</v>
      </c>
      <c r="G1340" s="2"/>
      <c r="H1340" s="2158" t="s">
        <v>17</v>
      </c>
      <c r="I1340" s="2159" t="s">
        <v>18</v>
      </c>
      <c r="J1340" s="3" t="s">
        <v>19</v>
      </c>
      <c r="K1340" s="3"/>
    </row>
    <row r="1341" spans="1:11" ht="43.2" x14ac:dyDescent="0.3">
      <c r="A1341" s="3" t="s">
        <v>2890</v>
      </c>
      <c r="B1341" s="3" t="str">
        <f>"027104037"</f>
        <v>027104037</v>
      </c>
      <c r="C1341" s="3" t="s">
        <v>2891</v>
      </c>
      <c r="D1341" s="3" t="s">
        <v>2893</v>
      </c>
      <c r="E1341" s="3" t="s">
        <v>1416</v>
      </c>
      <c r="F1341" s="2">
        <v>42735</v>
      </c>
      <c r="G1341" s="2"/>
      <c r="H1341" s="2160" t="s">
        <v>17</v>
      </c>
      <c r="I1341" s="2161" t="s">
        <v>18</v>
      </c>
      <c r="J1341" s="3" t="s">
        <v>19</v>
      </c>
      <c r="K1341" s="3"/>
    </row>
    <row r="1342" spans="1:11" ht="43.2" x14ac:dyDescent="0.3">
      <c r="A1342" s="3" t="s">
        <v>2890</v>
      </c>
      <c r="B1342" s="3" t="str">
        <f>"027104025"</f>
        <v>027104025</v>
      </c>
      <c r="C1342" s="3" t="s">
        <v>2891</v>
      </c>
      <c r="D1342" s="3" t="s">
        <v>2894</v>
      </c>
      <c r="E1342" s="3" t="s">
        <v>1416</v>
      </c>
      <c r="F1342" s="2">
        <v>42735</v>
      </c>
      <c r="G1342" s="2"/>
      <c r="H1342" s="2162" t="s">
        <v>17</v>
      </c>
      <c r="I1342" s="2163" t="s">
        <v>18</v>
      </c>
      <c r="J1342" s="3" t="s">
        <v>19</v>
      </c>
      <c r="K1342" s="3"/>
    </row>
    <row r="1343" spans="1:11" ht="57.6" x14ac:dyDescent="0.3">
      <c r="A1343" s="3" t="s">
        <v>2890</v>
      </c>
      <c r="B1343" s="3" t="str">
        <f>"027104049"</f>
        <v>027104049</v>
      </c>
      <c r="C1343" s="3" t="s">
        <v>2891</v>
      </c>
      <c r="D1343" s="3" t="s">
        <v>2895</v>
      </c>
      <c r="E1343" s="3" t="s">
        <v>1416</v>
      </c>
      <c r="F1343" s="2">
        <v>43221</v>
      </c>
      <c r="G1343" s="2"/>
      <c r="H1343" s="2164" t="s">
        <v>17</v>
      </c>
      <c r="I1343" s="2165" t="s">
        <v>18</v>
      </c>
      <c r="J1343" s="3" t="s">
        <v>19</v>
      </c>
      <c r="K1343" s="3"/>
    </row>
    <row r="1344" spans="1:11" ht="43.2" x14ac:dyDescent="0.3">
      <c r="A1344" s="3" t="s">
        <v>2896</v>
      </c>
      <c r="B1344" s="3" t="str">
        <f>"033987064"</f>
        <v>033987064</v>
      </c>
      <c r="C1344" s="3" t="s">
        <v>2897</v>
      </c>
      <c r="D1344" s="3" t="s">
        <v>2898</v>
      </c>
      <c r="E1344" s="3" t="s">
        <v>107</v>
      </c>
      <c r="F1344" s="2">
        <v>42698</v>
      </c>
      <c r="G1344" s="2"/>
      <c r="H1344" s="2166" t="s">
        <v>17</v>
      </c>
      <c r="I1344" s="2167" t="s">
        <v>18</v>
      </c>
      <c r="J1344" s="3" t="s">
        <v>19</v>
      </c>
      <c r="K1344" s="3"/>
    </row>
    <row r="1345" spans="1:11" ht="43.2" x14ac:dyDescent="0.3">
      <c r="A1345" s="3" t="s">
        <v>2899</v>
      </c>
      <c r="B1345" s="3" t="str">
        <f>"037552027"</f>
        <v>037552027</v>
      </c>
      <c r="C1345" s="3" t="s">
        <v>2900</v>
      </c>
      <c r="D1345" s="3" t="s">
        <v>2901</v>
      </c>
      <c r="E1345" s="3" t="s">
        <v>27</v>
      </c>
      <c r="F1345" s="2">
        <v>41153</v>
      </c>
      <c r="G1345" s="2"/>
      <c r="H1345" s="2168" t="s">
        <v>17</v>
      </c>
      <c r="I1345" s="2169" t="s">
        <v>18</v>
      </c>
      <c r="J1345" s="3" t="s">
        <v>19</v>
      </c>
      <c r="K1345" s="3"/>
    </row>
    <row r="1346" spans="1:11" ht="43.2" x14ac:dyDescent="0.3">
      <c r="A1346" s="3" t="s">
        <v>2902</v>
      </c>
      <c r="B1346" s="3" t="str">
        <f>"035543014"</f>
        <v>035543014</v>
      </c>
      <c r="C1346" s="3" t="s">
        <v>2903</v>
      </c>
      <c r="D1346" s="3" t="s">
        <v>2904</v>
      </c>
      <c r="E1346" s="3" t="s">
        <v>107</v>
      </c>
      <c r="F1346" s="2">
        <v>44228</v>
      </c>
      <c r="G1346" s="2"/>
      <c r="H1346" s="2170" t="s">
        <v>17</v>
      </c>
      <c r="I1346" s="2171" t="s">
        <v>18</v>
      </c>
      <c r="J1346" s="3" t="s">
        <v>19</v>
      </c>
      <c r="K1346" s="3"/>
    </row>
    <row r="1347" spans="1:11" ht="43.2" x14ac:dyDescent="0.3">
      <c r="A1347" s="3" t="s">
        <v>2902</v>
      </c>
      <c r="B1347" s="3" t="str">
        <f>"035543026"</f>
        <v>035543026</v>
      </c>
      <c r="C1347" s="3" t="s">
        <v>2903</v>
      </c>
      <c r="D1347" s="3" t="s">
        <v>2905</v>
      </c>
      <c r="E1347" s="3" t="s">
        <v>107</v>
      </c>
      <c r="F1347" s="2">
        <v>44348</v>
      </c>
      <c r="G1347" s="2"/>
      <c r="H1347" s="2172" t="s">
        <v>17</v>
      </c>
      <c r="I1347" s="2173" t="s">
        <v>18</v>
      </c>
      <c r="J1347" s="3" t="s">
        <v>19</v>
      </c>
      <c r="K1347" s="3"/>
    </row>
    <row r="1348" spans="1:11" ht="43.2" x14ac:dyDescent="0.3">
      <c r="A1348" s="3" t="s">
        <v>2906</v>
      </c>
      <c r="B1348" s="3" t="str">
        <f>"035772019"</f>
        <v>035772019</v>
      </c>
      <c r="C1348" s="3" t="s">
        <v>2903</v>
      </c>
      <c r="D1348" s="3" t="s">
        <v>2907</v>
      </c>
      <c r="E1348" s="3" t="s">
        <v>64</v>
      </c>
      <c r="F1348" s="2">
        <v>44156</v>
      </c>
      <c r="G1348" s="2"/>
      <c r="H1348" s="2174" t="s">
        <v>17</v>
      </c>
      <c r="I1348" s="3" t="s">
        <v>41</v>
      </c>
      <c r="J1348" s="3" t="s">
        <v>19</v>
      </c>
      <c r="K1348" s="3"/>
    </row>
    <row r="1349" spans="1:11" ht="43.2" x14ac:dyDescent="0.3">
      <c r="A1349" s="3" t="s">
        <v>2906</v>
      </c>
      <c r="B1349" s="3" t="str">
        <f>"035772021"</f>
        <v>035772021</v>
      </c>
      <c r="C1349" s="3" t="s">
        <v>2903</v>
      </c>
      <c r="D1349" s="3" t="s">
        <v>2908</v>
      </c>
      <c r="E1349" s="3" t="s">
        <v>64</v>
      </c>
      <c r="F1349" s="2">
        <v>44044</v>
      </c>
      <c r="G1349" s="2"/>
      <c r="H1349" s="2175" t="s">
        <v>17</v>
      </c>
      <c r="I1349" s="3" t="s">
        <v>41</v>
      </c>
      <c r="J1349" s="3" t="s">
        <v>19</v>
      </c>
      <c r="K1349" s="3"/>
    </row>
    <row r="1350" spans="1:11" ht="43.2" x14ac:dyDescent="0.3">
      <c r="A1350" s="3" t="s">
        <v>2909</v>
      </c>
      <c r="B1350" s="3" t="str">
        <f>"036285017"</f>
        <v>036285017</v>
      </c>
      <c r="C1350" s="3" t="s">
        <v>2910</v>
      </c>
      <c r="D1350" s="3" t="s">
        <v>2911</v>
      </c>
      <c r="E1350" s="3" t="s">
        <v>64</v>
      </c>
      <c r="F1350" s="2">
        <v>44200</v>
      </c>
      <c r="G1350" s="2"/>
      <c r="H1350" s="2176" t="s">
        <v>17</v>
      </c>
      <c r="I1350" s="3" t="s">
        <v>41</v>
      </c>
      <c r="J1350" s="3" t="s">
        <v>19</v>
      </c>
      <c r="K1350" s="3"/>
    </row>
    <row r="1351" spans="1:11" ht="43.2" x14ac:dyDescent="0.3">
      <c r="A1351" s="3" t="s">
        <v>2912</v>
      </c>
      <c r="B1351" s="3" t="str">
        <f>"022295024"</f>
        <v>022295024</v>
      </c>
      <c r="C1351" s="3" t="s">
        <v>2913</v>
      </c>
      <c r="D1351" s="3" t="s">
        <v>2914</v>
      </c>
      <c r="E1351" s="3" t="s">
        <v>873</v>
      </c>
      <c r="F1351" s="2">
        <v>43723</v>
      </c>
      <c r="G1351" s="2"/>
      <c r="H1351" s="2177" t="s">
        <v>37</v>
      </c>
      <c r="I1351" s="2178" t="s">
        <v>32</v>
      </c>
      <c r="J1351" s="3" t="s">
        <v>19</v>
      </c>
      <c r="K1351" s="3"/>
    </row>
    <row r="1352" spans="1:11" ht="43.2" x14ac:dyDescent="0.3">
      <c r="A1352" s="3" t="s">
        <v>2915</v>
      </c>
      <c r="B1352" s="3" t="str">
        <f>"029393016"</f>
        <v>029393016</v>
      </c>
      <c r="C1352" s="3" t="s">
        <v>2916</v>
      </c>
      <c r="D1352" s="3" t="s">
        <v>967</v>
      </c>
      <c r="E1352" s="3" t="s">
        <v>425</v>
      </c>
      <c r="F1352" s="2">
        <v>43559</v>
      </c>
      <c r="G1352" s="2">
        <v>44196</v>
      </c>
      <c r="H1352" s="2179" t="s">
        <v>17</v>
      </c>
      <c r="I1352" s="3" t="s">
        <v>152</v>
      </c>
      <c r="J1352" s="3" t="s">
        <v>19</v>
      </c>
      <c r="K1352" s="3"/>
    </row>
    <row r="1353" spans="1:11" ht="43.2" x14ac:dyDescent="0.3">
      <c r="A1353" s="3" t="s">
        <v>2915</v>
      </c>
      <c r="B1353" s="3" t="str">
        <f>"029393028"</f>
        <v>029393028</v>
      </c>
      <c r="C1353" s="3" t="s">
        <v>2916</v>
      </c>
      <c r="D1353" s="3" t="s">
        <v>2917</v>
      </c>
      <c r="E1353" s="3" t="s">
        <v>425</v>
      </c>
      <c r="F1353" s="2">
        <v>43664</v>
      </c>
      <c r="G1353" s="2">
        <v>44196</v>
      </c>
      <c r="H1353" s="2180" t="s">
        <v>17</v>
      </c>
      <c r="I1353" s="3" t="s">
        <v>152</v>
      </c>
      <c r="J1353" s="3" t="s">
        <v>19</v>
      </c>
      <c r="K1353" s="3"/>
    </row>
    <row r="1354" spans="1:11" ht="43.2" x14ac:dyDescent="0.3">
      <c r="A1354" s="3" t="s">
        <v>2915</v>
      </c>
      <c r="B1354" s="3" t="str">
        <f>"029393042"</f>
        <v>029393042</v>
      </c>
      <c r="C1354" s="3" t="s">
        <v>2916</v>
      </c>
      <c r="D1354" s="3" t="s">
        <v>2918</v>
      </c>
      <c r="E1354" s="3" t="s">
        <v>425</v>
      </c>
      <c r="F1354" s="2">
        <v>43689</v>
      </c>
      <c r="G1354" s="2">
        <v>44196</v>
      </c>
      <c r="H1354" s="2181" t="s">
        <v>17</v>
      </c>
      <c r="I1354" s="3" t="s">
        <v>152</v>
      </c>
      <c r="J1354" s="3" t="s">
        <v>19</v>
      </c>
      <c r="K1354" s="3"/>
    </row>
    <row r="1355" spans="1:11" ht="43.2" x14ac:dyDescent="0.3">
      <c r="A1355" s="3" t="s">
        <v>2919</v>
      </c>
      <c r="B1355" s="3" t="str">
        <f>"039380213"</f>
        <v>039380213</v>
      </c>
      <c r="C1355" s="3" t="s">
        <v>2916</v>
      </c>
      <c r="D1355" s="3" t="s">
        <v>2920</v>
      </c>
      <c r="E1355" s="3" t="s">
        <v>74</v>
      </c>
      <c r="F1355" s="2">
        <v>43647</v>
      </c>
      <c r="G1355" s="2"/>
      <c r="H1355" s="2182" t="s">
        <v>17</v>
      </c>
      <c r="I1355" s="3" t="s">
        <v>41</v>
      </c>
      <c r="J1355" s="3" t="s">
        <v>19</v>
      </c>
      <c r="K1355" s="3"/>
    </row>
    <row r="1356" spans="1:11" ht="43.2" x14ac:dyDescent="0.3">
      <c r="A1356" s="3" t="s">
        <v>2919</v>
      </c>
      <c r="B1356" s="3" t="str">
        <f>"039380290"</f>
        <v>039380290</v>
      </c>
      <c r="C1356" s="3" t="s">
        <v>2916</v>
      </c>
      <c r="D1356" s="3" t="s">
        <v>2921</v>
      </c>
      <c r="E1356" s="3" t="s">
        <v>74</v>
      </c>
      <c r="F1356" s="2">
        <v>43987</v>
      </c>
      <c r="G1356" s="2">
        <v>44227</v>
      </c>
      <c r="H1356" s="2183" t="s">
        <v>17</v>
      </c>
      <c r="I1356" s="3" t="s">
        <v>41</v>
      </c>
      <c r="J1356" s="3" t="s">
        <v>19</v>
      </c>
      <c r="K1356" s="3"/>
    </row>
    <row r="1357" spans="1:11" ht="43.2" x14ac:dyDescent="0.3">
      <c r="A1357" s="3" t="s">
        <v>2922</v>
      </c>
      <c r="B1357" s="3" t="str">
        <f>"043614066"</f>
        <v>043614066</v>
      </c>
      <c r="C1357" s="3" t="s">
        <v>2916</v>
      </c>
      <c r="D1357" s="3" t="s">
        <v>2923</v>
      </c>
      <c r="E1357" s="3" t="s">
        <v>83</v>
      </c>
      <c r="F1357" s="2">
        <v>43966</v>
      </c>
      <c r="G1357" s="2"/>
      <c r="H1357" s="2184" t="s">
        <v>17</v>
      </c>
      <c r="I1357" s="3" t="s">
        <v>41</v>
      </c>
      <c r="J1357" s="3" t="s">
        <v>19</v>
      </c>
      <c r="K1357" s="3"/>
    </row>
    <row r="1358" spans="1:11" ht="43.2" x14ac:dyDescent="0.3">
      <c r="A1358" s="3" t="s">
        <v>2922</v>
      </c>
      <c r="B1358" s="3" t="str">
        <f>"043614116"</f>
        <v>043614116</v>
      </c>
      <c r="C1358" s="3" t="s">
        <v>2916</v>
      </c>
      <c r="D1358" s="3" t="s">
        <v>2924</v>
      </c>
      <c r="E1358" s="3" t="s">
        <v>83</v>
      </c>
      <c r="F1358" s="2">
        <v>44137</v>
      </c>
      <c r="G1358" s="2"/>
      <c r="H1358" s="2185" t="s">
        <v>17</v>
      </c>
      <c r="I1358" s="3" t="s">
        <v>41</v>
      </c>
      <c r="J1358" s="3" t="s">
        <v>19</v>
      </c>
      <c r="K1358" s="3"/>
    </row>
    <row r="1359" spans="1:11" ht="57.6" x14ac:dyDescent="0.3">
      <c r="A1359" s="3" t="s">
        <v>2925</v>
      </c>
      <c r="B1359" s="3" t="str">
        <f>"041392022"</f>
        <v>041392022</v>
      </c>
      <c r="C1359" s="3" t="s">
        <v>2926</v>
      </c>
      <c r="D1359" s="3" t="s">
        <v>2927</v>
      </c>
      <c r="E1359" s="3" t="s">
        <v>83</v>
      </c>
      <c r="F1359" s="2">
        <v>43966</v>
      </c>
      <c r="G1359" s="2"/>
      <c r="H1359" s="2186" t="s">
        <v>17</v>
      </c>
      <c r="I1359" s="3" t="s">
        <v>41</v>
      </c>
      <c r="J1359" s="3" t="s">
        <v>19</v>
      </c>
      <c r="K1359" s="3"/>
    </row>
    <row r="1360" spans="1:11" ht="57.6" x14ac:dyDescent="0.3">
      <c r="A1360" s="3" t="s">
        <v>2925</v>
      </c>
      <c r="B1360" s="3" t="str">
        <f>"041392248"</f>
        <v>041392248</v>
      </c>
      <c r="C1360" s="3" t="s">
        <v>2926</v>
      </c>
      <c r="D1360" s="3" t="s">
        <v>2928</v>
      </c>
      <c r="E1360" s="3" t="s">
        <v>83</v>
      </c>
      <c r="F1360" s="2">
        <v>44149</v>
      </c>
      <c r="G1360" s="2"/>
      <c r="H1360" s="2187" t="s">
        <v>17</v>
      </c>
      <c r="I1360" s="3" t="s">
        <v>41</v>
      </c>
      <c r="J1360" s="3" t="s">
        <v>19</v>
      </c>
      <c r="K1360" s="3"/>
    </row>
    <row r="1361" spans="1:11" ht="57.6" x14ac:dyDescent="0.3">
      <c r="A1361" s="3" t="s">
        <v>2929</v>
      </c>
      <c r="B1361" s="3" t="str">
        <f>"039473020"</f>
        <v>039473020</v>
      </c>
      <c r="C1361" s="3" t="s">
        <v>2926</v>
      </c>
      <c r="D1361" s="3" t="s">
        <v>2930</v>
      </c>
      <c r="E1361" s="3" t="s">
        <v>481</v>
      </c>
      <c r="F1361" s="2">
        <v>43700</v>
      </c>
      <c r="G1361" s="2">
        <v>43903</v>
      </c>
      <c r="H1361" s="2188" t="s">
        <v>17</v>
      </c>
      <c r="I1361" s="3" t="s">
        <v>41</v>
      </c>
      <c r="J1361" s="3" t="s">
        <v>19</v>
      </c>
      <c r="K1361" s="3"/>
    </row>
    <row r="1362" spans="1:11" ht="43.2" x14ac:dyDescent="0.3">
      <c r="A1362" s="3" t="s">
        <v>2931</v>
      </c>
      <c r="B1362" s="3" t="str">
        <f>"039122027"</f>
        <v>039122027</v>
      </c>
      <c r="C1362" s="3" t="s">
        <v>2926</v>
      </c>
      <c r="D1362" s="3" t="s">
        <v>2932</v>
      </c>
      <c r="E1362" s="3" t="s">
        <v>263</v>
      </c>
      <c r="F1362" s="2">
        <v>43922</v>
      </c>
      <c r="G1362" s="2">
        <v>44256</v>
      </c>
      <c r="H1362" s="2189" t="s">
        <v>17</v>
      </c>
      <c r="I1362" s="3" t="s">
        <v>41</v>
      </c>
      <c r="J1362" s="3" t="s">
        <v>19</v>
      </c>
      <c r="K1362" s="3"/>
    </row>
    <row r="1363" spans="1:11" ht="43.2" x14ac:dyDescent="0.3">
      <c r="A1363" s="3" t="s">
        <v>2931</v>
      </c>
      <c r="B1363" s="3" t="str">
        <f>"039122039"</f>
        <v>039122039</v>
      </c>
      <c r="C1363" s="3" t="s">
        <v>2926</v>
      </c>
      <c r="D1363" s="3" t="s">
        <v>2933</v>
      </c>
      <c r="E1363" s="3" t="s">
        <v>263</v>
      </c>
      <c r="F1363" s="2">
        <v>43881</v>
      </c>
      <c r="G1363" s="2">
        <v>44256</v>
      </c>
      <c r="H1363" s="2190" t="s">
        <v>17</v>
      </c>
      <c r="I1363" s="3" t="s">
        <v>41</v>
      </c>
      <c r="J1363" s="3" t="s">
        <v>19</v>
      </c>
      <c r="K1363" s="3"/>
    </row>
    <row r="1364" spans="1:11" ht="57.6" x14ac:dyDescent="0.3">
      <c r="A1364" s="3" t="s">
        <v>2934</v>
      </c>
      <c r="B1364" s="3" t="str">
        <f>"039677036"</f>
        <v>039677036</v>
      </c>
      <c r="C1364" s="3" t="s">
        <v>2926</v>
      </c>
      <c r="D1364" s="3" t="s">
        <v>2935</v>
      </c>
      <c r="E1364" s="3" t="s">
        <v>64</v>
      </c>
      <c r="F1364" s="2">
        <v>44108</v>
      </c>
      <c r="G1364" s="2"/>
      <c r="H1364" s="2191" t="s">
        <v>17</v>
      </c>
      <c r="I1364" s="3" t="s">
        <v>2499</v>
      </c>
      <c r="J1364" s="3" t="s">
        <v>19</v>
      </c>
      <c r="K1364" s="3"/>
    </row>
    <row r="1365" spans="1:11" ht="57.6" x14ac:dyDescent="0.3">
      <c r="A1365" s="3" t="s">
        <v>2934</v>
      </c>
      <c r="B1365" s="3" t="str">
        <f>"039677101"</f>
        <v>039677101</v>
      </c>
      <c r="C1365" s="3" t="s">
        <v>2926</v>
      </c>
      <c r="D1365" s="3" t="s">
        <v>2936</v>
      </c>
      <c r="E1365" s="3" t="s">
        <v>64</v>
      </c>
      <c r="F1365" s="2">
        <v>43983</v>
      </c>
      <c r="G1365" s="2"/>
      <c r="H1365" s="2192" t="s">
        <v>17</v>
      </c>
      <c r="I1365" s="3" t="s">
        <v>41</v>
      </c>
      <c r="J1365" s="3" t="s">
        <v>19</v>
      </c>
      <c r="K1365" s="3"/>
    </row>
    <row r="1366" spans="1:11" ht="43.2" x14ac:dyDescent="0.3">
      <c r="A1366" s="3" t="s">
        <v>2937</v>
      </c>
      <c r="B1366" s="3" t="str">
        <f>"039410030"</f>
        <v>039410030</v>
      </c>
      <c r="C1366" s="3" t="s">
        <v>2916</v>
      </c>
      <c r="D1366" s="3" t="s">
        <v>2918</v>
      </c>
      <c r="E1366" s="3" t="s">
        <v>24</v>
      </c>
      <c r="F1366" s="2">
        <v>43654</v>
      </c>
      <c r="G1366" s="2">
        <v>44165</v>
      </c>
      <c r="H1366" s="2193" t="s">
        <v>17</v>
      </c>
      <c r="I1366" s="3" t="s">
        <v>41</v>
      </c>
      <c r="J1366" s="3" t="s">
        <v>19</v>
      </c>
      <c r="K1366" s="3"/>
    </row>
    <row r="1367" spans="1:11" ht="57.6" x14ac:dyDescent="0.3">
      <c r="A1367" s="3" t="s">
        <v>2938</v>
      </c>
      <c r="B1367" s="3" t="str">
        <f>"039909041"</f>
        <v>039909041</v>
      </c>
      <c r="C1367" s="3" t="s">
        <v>2926</v>
      </c>
      <c r="D1367" s="3" t="s">
        <v>2939</v>
      </c>
      <c r="E1367" s="3" t="s">
        <v>74</v>
      </c>
      <c r="F1367" s="2">
        <v>44012</v>
      </c>
      <c r="G1367" s="2">
        <v>44227</v>
      </c>
      <c r="H1367" s="2194" t="s">
        <v>17</v>
      </c>
      <c r="I1367" s="3" t="s">
        <v>41</v>
      </c>
      <c r="J1367" s="3" t="s">
        <v>19</v>
      </c>
      <c r="K1367" s="3"/>
    </row>
    <row r="1368" spans="1:11" ht="57.6" x14ac:dyDescent="0.3">
      <c r="A1368" s="3" t="s">
        <v>2938</v>
      </c>
      <c r="B1368" s="3" t="str">
        <f>"039909128"</f>
        <v>039909128</v>
      </c>
      <c r="C1368" s="3" t="s">
        <v>2926</v>
      </c>
      <c r="D1368" s="3" t="s">
        <v>2940</v>
      </c>
      <c r="E1368" s="3" t="s">
        <v>74</v>
      </c>
      <c r="F1368" s="2">
        <v>44012</v>
      </c>
      <c r="G1368" s="2">
        <v>44227</v>
      </c>
      <c r="H1368" s="2195" t="s">
        <v>17</v>
      </c>
      <c r="I1368" s="3" t="s">
        <v>41</v>
      </c>
      <c r="J1368" s="3" t="s">
        <v>19</v>
      </c>
      <c r="K1368" s="3"/>
    </row>
    <row r="1369" spans="1:11" ht="57.6" x14ac:dyDescent="0.3">
      <c r="A1369" s="3" t="s">
        <v>2941</v>
      </c>
      <c r="B1369" s="3" t="str">
        <f>"039466026"</f>
        <v>039466026</v>
      </c>
      <c r="C1369" s="3" t="s">
        <v>2926</v>
      </c>
      <c r="D1369" s="3" t="s">
        <v>2942</v>
      </c>
      <c r="E1369" s="3" t="s">
        <v>353</v>
      </c>
      <c r="F1369" s="2">
        <v>43739</v>
      </c>
      <c r="G1369" s="2"/>
      <c r="H1369" s="2196" t="s">
        <v>17</v>
      </c>
      <c r="I1369" s="2197" t="s">
        <v>32</v>
      </c>
      <c r="J1369" s="3" t="s">
        <v>19</v>
      </c>
      <c r="K1369" s="3"/>
    </row>
    <row r="1370" spans="1:11" ht="57.6" x14ac:dyDescent="0.3">
      <c r="A1370" s="3" t="s">
        <v>2941</v>
      </c>
      <c r="B1370" s="3" t="str">
        <f>"039466040"</f>
        <v>039466040</v>
      </c>
      <c r="C1370" s="3" t="s">
        <v>2926</v>
      </c>
      <c r="D1370" s="3" t="s">
        <v>2943</v>
      </c>
      <c r="E1370" s="3" t="s">
        <v>353</v>
      </c>
      <c r="F1370" s="2">
        <v>43739</v>
      </c>
      <c r="G1370" s="2"/>
      <c r="H1370" s="2198" t="s">
        <v>17</v>
      </c>
      <c r="I1370" s="2199" t="s">
        <v>32</v>
      </c>
      <c r="J1370" s="3" t="s">
        <v>19</v>
      </c>
      <c r="K1370" s="3"/>
    </row>
    <row r="1371" spans="1:11" ht="57.6" x14ac:dyDescent="0.3">
      <c r="A1371" s="3" t="s">
        <v>2944</v>
      </c>
      <c r="B1371" s="3" t="str">
        <f>"039198027"</f>
        <v>039198027</v>
      </c>
      <c r="C1371" s="3" t="s">
        <v>2916</v>
      </c>
      <c r="D1371" s="3" t="s">
        <v>2945</v>
      </c>
      <c r="E1371" s="3" t="s">
        <v>263</v>
      </c>
      <c r="F1371" s="2">
        <v>44158</v>
      </c>
      <c r="G1371" s="2">
        <v>44295</v>
      </c>
      <c r="H1371" s="2200" t="s">
        <v>17</v>
      </c>
      <c r="I1371" s="3" t="s">
        <v>41</v>
      </c>
      <c r="J1371" s="3" t="s">
        <v>19</v>
      </c>
      <c r="K1371" s="3"/>
    </row>
    <row r="1372" spans="1:11" ht="43.2" x14ac:dyDescent="0.3">
      <c r="A1372" s="3" t="s">
        <v>2946</v>
      </c>
      <c r="B1372" s="3" t="str">
        <f>"039225026"</f>
        <v>039225026</v>
      </c>
      <c r="C1372" s="3" t="s">
        <v>2916</v>
      </c>
      <c r="D1372" s="3" t="s">
        <v>2947</v>
      </c>
      <c r="E1372" s="3" t="s">
        <v>64</v>
      </c>
      <c r="F1372" s="2">
        <v>44075</v>
      </c>
      <c r="G1372" s="2"/>
      <c r="H1372" s="2201" t="s">
        <v>17</v>
      </c>
      <c r="I1372" s="3" t="s">
        <v>41</v>
      </c>
      <c r="J1372" s="3" t="s">
        <v>19</v>
      </c>
      <c r="K1372" s="3"/>
    </row>
    <row r="1373" spans="1:11" ht="43.2" x14ac:dyDescent="0.3">
      <c r="A1373" s="3" t="s">
        <v>2946</v>
      </c>
      <c r="B1373" s="3" t="str">
        <f>"039225115"</f>
        <v>039225115</v>
      </c>
      <c r="C1373" s="3" t="s">
        <v>2916</v>
      </c>
      <c r="D1373" s="3" t="s">
        <v>2948</v>
      </c>
      <c r="E1373" s="3" t="s">
        <v>64</v>
      </c>
      <c r="F1373" s="2">
        <v>44013</v>
      </c>
      <c r="G1373" s="2"/>
      <c r="H1373" s="2202" t="s">
        <v>17</v>
      </c>
      <c r="I1373" s="3" t="s">
        <v>41</v>
      </c>
      <c r="J1373" s="3" t="s">
        <v>19</v>
      </c>
      <c r="K1373" s="3"/>
    </row>
    <row r="1374" spans="1:11" ht="43.2" x14ac:dyDescent="0.3">
      <c r="A1374" s="3" t="s">
        <v>2949</v>
      </c>
      <c r="B1374" s="3" t="str">
        <f>"039077211"</f>
        <v>039077211</v>
      </c>
      <c r="C1374" s="3" t="s">
        <v>2916</v>
      </c>
      <c r="D1374" s="3" t="s">
        <v>2950</v>
      </c>
      <c r="E1374" s="3" t="s">
        <v>99</v>
      </c>
      <c r="F1374" s="2">
        <v>43808</v>
      </c>
      <c r="G1374" s="2">
        <v>44347</v>
      </c>
      <c r="H1374" s="2203" t="s">
        <v>17</v>
      </c>
      <c r="I1374" s="3" t="s">
        <v>41</v>
      </c>
      <c r="J1374" s="3" t="s">
        <v>19</v>
      </c>
      <c r="K1374" s="3"/>
    </row>
    <row r="1375" spans="1:11" ht="57.6" x14ac:dyDescent="0.3">
      <c r="A1375" s="3" t="s">
        <v>2951</v>
      </c>
      <c r="B1375" s="3" t="str">
        <f>"038028332"</f>
        <v>038028332</v>
      </c>
      <c r="C1375" s="3" t="s">
        <v>2926</v>
      </c>
      <c r="D1375" s="3" t="s">
        <v>2952</v>
      </c>
      <c r="E1375" s="3" t="s">
        <v>27</v>
      </c>
      <c r="F1375" s="2">
        <v>43983</v>
      </c>
      <c r="G1375" s="2">
        <v>44227</v>
      </c>
      <c r="H1375" s="2204" t="s">
        <v>17</v>
      </c>
      <c r="I1375" s="3" t="s">
        <v>104</v>
      </c>
      <c r="J1375" s="3" t="s">
        <v>19</v>
      </c>
      <c r="K1375" s="3"/>
    </row>
    <row r="1376" spans="1:11" ht="43.2" x14ac:dyDescent="0.3">
      <c r="A1376" s="3" t="s">
        <v>2953</v>
      </c>
      <c r="B1376" s="3" t="str">
        <f>"031497047"</f>
        <v>031497047</v>
      </c>
      <c r="C1376" s="3" t="s">
        <v>2926</v>
      </c>
      <c r="D1376" s="3" t="s">
        <v>2954</v>
      </c>
      <c r="E1376" s="3" t="s">
        <v>425</v>
      </c>
      <c r="F1376" s="2">
        <v>43556</v>
      </c>
      <c r="G1376" s="2">
        <v>44196</v>
      </c>
      <c r="H1376" s="2205" t="s">
        <v>17</v>
      </c>
      <c r="I1376" s="3" t="s">
        <v>152</v>
      </c>
      <c r="J1376" s="3" t="s">
        <v>19</v>
      </c>
      <c r="K1376" s="3"/>
    </row>
    <row r="1377" spans="1:11" ht="43.2" x14ac:dyDescent="0.3">
      <c r="A1377" s="3" t="s">
        <v>2953</v>
      </c>
      <c r="B1377" s="3" t="str">
        <f>"031497050"</f>
        <v>031497050</v>
      </c>
      <c r="C1377" s="3" t="s">
        <v>2926</v>
      </c>
      <c r="D1377" s="3" t="s">
        <v>2955</v>
      </c>
      <c r="E1377" s="3" t="s">
        <v>425</v>
      </c>
      <c r="F1377" s="2">
        <v>43587</v>
      </c>
      <c r="G1377" s="2">
        <v>44196</v>
      </c>
      <c r="H1377" s="2206" t="s">
        <v>17</v>
      </c>
      <c r="I1377" s="3" t="s">
        <v>152</v>
      </c>
      <c r="J1377" s="3" t="s">
        <v>19</v>
      </c>
      <c r="K1377" s="3"/>
    </row>
    <row r="1378" spans="1:11" ht="43.2" x14ac:dyDescent="0.3">
      <c r="A1378" s="3" t="s">
        <v>2956</v>
      </c>
      <c r="B1378" s="3" t="str">
        <f>"026804082"</f>
        <v>026804082</v>
      </c>
      <c r="C1378" s="3" t="s">
        <v>465</v>
      </c>
      <c r="D1378" s="3" t="s">
        <v>2957</v>
      </c>
      <c r="E1378" s="3" t="s">
        <v>861</v>
      </c>
      <c r="F1378" s="2">
        <v>43983</v>
      </c>
      <c r="G1378" s="2">
        <v>44166</v>
      </c>
      <c r="H1378" s="2207" t="s">
        <v>17</v>
      </c>
      <c r="I1378" s="3" t="s">
        <v>41</v>
      </c>
      <c r="J1378" s="3" t="s">
        <v>19</v>
      </c>
      <c r="K1378" s="3"/>
    </row>
    <row r="1379" spans="1:11" ht="43.2" x14ac:dyDescent="0.3">
      <c r="A1379" s="3" t="s">
        <v>2956</v>
      </c>
      <c r="B1379" s="3" t="str">
        <f>"026804106"</f>
        <v>026804106</v>
      </c>
      <c r="C1379" s="3" t="s">
        <v>465</v>
      </c>
      <c r="D1379" s="3" t="s">
        <v>2958</v>
      </c>
      <c r="E1379" s="3" t="s">
        <v>861</v>
      </c>
      <c r="F1379" s="2">
        <v>43983</v>
      </c>
      <c r="G1379" s="2">
        <v>44166</v>
      </c>
      <c r="H1379" s="2208" t="s">
        <v>17</v>
      </c>
      <c r="I1379" s="3" t="s">
        <v>41</v>
      </c>
      <c r="J1379" s="3" t="s">
        <v>19</v>
      </c>
      <c r="K1379" s="3"/>
    </row>
    <row r="1380" spans="1:11" ht="100.8" x14ac:dyDescent="0.3">
      <c r="A1380" s="3" t="s">
        <v>2959</v>
      </c>
      <c r="B1380" s="3" t="str">
        <f>"037608027"</f>
        <v>037608027</v>
      </c>
      <c r="C1380" s="3" t="s">
        <v>2960</v>
      </c>
      <c r="D1380" s="3" t="s">
        <v>2961</v>
      </c>
      <c r="E1380" s="3" t="s">
        <v>1658</v>
      </c>
      <c r="F1380" s="2">
        <v>43791</v>
      </c>
      <c r="G1380" s="2"/>
      <c r="H1380" s="2209" t="s">
        <v>17</v>
      </c>
      <c r="I1380" s="2210" t="s">
        <v>18</v>
      </c>
      <c r="J1380" s="3" t="s">
        <v>19</v>
      </c>
      <c r="K1380" s="3"/>
    </row>
    <row r="1381" spans="1:11" ht="57.6" x14ac:dyDescent="0.3">
      <c r="A1381" s="3" t="s">
        <v>2962</v>
      </c>
      <c r="B1381" s="3" t="str">
        <f>"023207057"</f>
        <v>023207057</v>
      </c>
      <c r="C1381" s="3" t="s">
        <v>2963</v>
      </c>
      <c r="D1381" s="3" t="s">
        <v>2964</v>
      </c>
      <c r="E1381" s="3" t="s">
        <v>873</v>
      </c>
      <c r="F1381" s="2">
        <v>43586</v>
      </c>
      <c r="G1381" s="2"/>
      <c r="H1381" s="2211" t="s">
        <v>37</v>
      </c>
      <c r="I1381" s="2212" t="s">
        <v>32</v>
      </c>
      <c r="J1381" s="3" t="s">
        <v>156</v>
      </c>
      <c r="K1381" s="3"/>
    </row>
    <row r="1382" spans="1:11" ht="43.2" x14ac:dyDescent="0.3">
      <c r="A1382" s="3" t="s">
        <v>2965</v>
      </c>
      <c r="B1382" s="3" t="str">
        <f>"034004022"</f>
        <v>034004022</v>
      </c>
      <c r="C1382" s="3" t="s">
        <v>2966</v>
      </c>
      <c r="D1382" s="3" t="s">
        <v>2967</v>
      </c>
      <c r="E1382" s="3" t="s">
        <v>438</v>
      </c>
      <c r="F1382" s="2">
        <v>44103</v>
      </c>
      <c r="G1382" s="2"/>
      <c r="H1382" s="2213" t="s">
        <v>17</v>
      </c>
      <c r="I1382" s="2214" t="s">
        <v>18</v>
      </c>
      <c r="J1382" s="3" t="s">
        <v>19</v>
      </c>
      <c r="K1382" s="3"/>
    </row>
    <row r="1383" spans="1:11" ht="43.2" x14ac:dyDescent="0.3">
      <c r="A1383" s="3" t="s">
        <v>2965</v>
      </c>
      <c r="B1383" s="3" t="str">
        <f>"034004059"</f>
        <v>034004059</v>
      </c>
      <c r="C1383" s="3" t="s">
        <v>2966</v>
      </c>
      <c r="D1383" s="3" t="s">
        <v>2968</v>
      </c>
      <c r="E1383" s="3" t="s">
        <v>438</v>
      </c>
      <c r="F1383" s="2">
        <v>43270</v>
      </c>
      <c r="G1383" s="2"/>
      <c r="H1383" s="2215" t="s">
        <v>17</v>
      </c>
      <c r="I1383" s="2216" t="s">
        <v>32</v>
      </c>
      <c r="J1383" s="3" t="s">
        <v>19</v>
      </c>
      <c r="K1383" s="3"/>
    </row>
    <row r="1384" spans="1:11" ht="43.2" x14ac:dyDescent="0.3">
      <c r="A1384" s="3" t="s">
        <v>2969</v>
      </c>
      <c r="B1384" s="3" t="str">
        <f>"035447010"</f>
        <v>035447010</v>
      </c>
      <c r="C1384" s="3" t="s">
        <v>2970</v>
      </c>
      <c r="D1384" s="3" t="s">
        <v>2971</v>
      </c>
      <c r="E1384" s="3" t="s">
        <v>2972</v>
      </c>
      <c r="F1384" s="2">
        <v>42216</v>
      </c>
      <c r="G1384" s="2"/>
      <c r="H1384" s="2217" t="s">
        <v>17</v>
      </c>
      <c r="I1384" s="2218" t="s">
        <v>18</v>
      </c>
      <c r="J1384" s="3" t="s">
        <v>19</v>
      </c>
      <c r="K1384" s="3"/>
    </row>
    <row r="1385" spans="1:11" ht="43.2" x14ac:dyDescent="0.3">
      <c r="A1385" s="3" t="s">
        <v>2973</v>
      </c>
      <c r="B1385" s="3" t="str">
        <f>"036476202"</f>
        <v>036476202</v>
      </c>
      <c r="C1385" s="3" t="s">
        <v>2974</v>
      </c>
      <c r="D1385" s="3" t="s">
        <v>2975</v>
      </c>
      <c r="E1385" s="3" t="s">
        <v>2976</v>
      </c>
      <c r="F1385" s="2">
        <v>42613</v>
      </c>
      <c r="G1385" s="2"/>
      <c r="H1385" s="2219" t="s">
        <v>37</v>
      </c>
      <c r="I1385" s="2220" t="s">
        <v>18</v>
      </c>
      <c r="J1385" s="3" t="s">
        <v>19</v>
      </c>
      <c r="K1385" s="3"/>
    </row>
    <row r="1386" spans="1:11" ht="43.2" x14ac:dyDescent="0.3">
      <c r="A1386" s="3" t="s">
        <v>2977</v>
      </c>
      <c r="B1386" s="3" t="str">
        <f>"011987017"</f>
        <v>011987017</v>
      </c>
      <c r="C1386" s="3" t="s">
        <v>2978</v>
      </c>
      <c r="D1386" s="3" t="s">
        <v>2979</v>
      </c>
      <c r="E1386" s="3" t="s">
        <v>1617</v>
      </c>
      <c r="F1386" s="2">
        <v>43252</v>
      </c>
      <c r="G1386" s="2"/>
      <c r="H1386" s="2221" t="s">
        <v>37</v>
      </c>
      <c r="I1386" s="2222" t="s">
        <v>18</v>
      </c>
      <c r="J1386" s="3" t="s">
        <v>19</v>
      </c>
      <c r="K1386" s="3"/>
    </row>
    <row r="1387" spans="1:11" ht="43.2" x14ac:dyDescent="0.3">
      <c r="A1387" s="3" t="s">
        <v>2977</v>
      </c>
      <c r="B1387" s="3" t="str">
        <f>"011987029"</f>
        <v>011987029</v>
      </c>
      <c r="C1387" s="3" t="s">
        <v>2978</v>
      </c>
      <c r="D1387" s="3" t="s">
        <v>2980</v>
      </c>
      <c r="E1387" s="3" t="s">
        <v>1617</v>
      </c>
      <c r="F1387" s="2">
        <v>43252</v>
      </c>
      <c r="G1387" s="2"/>
      <c r="H1387" s="2223" t="s">
        <v>37</v>
      </c>
      <c r="I1387" s="2224" t="s">
        <v>18</v>
      </c>
      <c r="J1387" s="3" t="s">
        <v>19</v>
      </c>
      <c r="K1387" s="3"/>
    </row>
    <row r="1388" spans="1:11" ht="100.8" x14ac:dyDescent="0.3">
      <c r="A1388" s="3" t="s">
        <v>2981</v>
      </c>
      <c r="B1388" s="3" t="str">
        <f>"042657054"</f>
        <v>042657054</v>
      </c>
      <c r="C1388" s="3" t="s">
        <v>2982</v>
      </c>
      <c r="D1388" s="3" t="s">
        <v>2983</v>
      </c>
      <c r="E1388" s="3" t="s">
        <v>489</v>
      </c>
      <c r="F1388" s="2">
        <v>43889</v>
      </c>
      <c r="G1388" s="2"/>
      <c r="H1388" s="2225" t="s">
        <v>37</v>
      </c>
      <c r="I1388" s="2226" t="s">
        <v>18</v>
      </c>
      <c r="J1388" s="3" t="s">
        <v>19</v>
      </c>
      <c r="K1388" s="3"/>
    </row>
    <row r="1389" spans="1:11" ht="43.2" x14ac:dyDescent="0.3">
      <c r="A1389" s="3" t="s">
        <v>2984</v>
      </c>
      <c r="B1389" s="3" t="str">
        <f>"020702015"</f>
        <v>020702015</v>
      </c>
      <c r="C1389" s="3" t="s">
        <v>2985</v>
      </c>
      <c r="D1389" s="3" t="s">
        <v>2986</v>
      </c>
      <c r="E1389" s="3" t="s">
        <v>161</v>
      </c>
      <c r="F1389" s="2">
        <v>44046</v>
      </c>
      <c r="G1389" s="2"/>
      <c r="H1389" s="2227" t="s">
        <v>37</v>
      </c>
      <c r="I1389" s="2228" t="s">
        <v>18</v>
      </c>
      <c r="J1389" s="3" t="s">
        <v>19</v>
      </c>
      <c r="K1389" s="3"/>
    </row>
    <row r="1390" spans="1:11" ht="43.2" x14ac:dyDescent="0.3">
      <c r="A1390" s="3" t="s">
        <v>2984</v>
      </c>
      <c r="B1390" s="3" t="str">
        <f>"020702205"</f>
        <v>020702205</v>
      </c>
      <c r="C1390" s="3" t="s">
        <v>2985</v>
      </c>
      <c r="D1390" s="3" t="s">
        <v>2987</v>
      </c>
      <c r="E1390" s="3" t="s">
        <v>161</v>
      </c>
      <c r="F1390" s="2">
        <v>42151</v>
      </c>
      <c r="G1390" s="2"/>
      <c r="H1390" s="2229" t="s">
        <v>17</v>
      </c>
      <c r="I1390" s="2230" t="s">
        <v>18</v>
      </c>
      <c r="J1390" s="3" t="s">
        <v>19</v>
      </c>
      <c r="K1390" s="3"/>
    </row>
    <row r="1391" spans="1:11" ht="57.6" x14ac:dyDescent="0.3">
      <c r="A1391" s="3" t="s">
        <v>2988</v>
      </c>
      <c r="B1391" s="3" t="str">
        <f>"043060019"</f>
        <v>043060019</v>
      </c>
      <c r="C1391" s="3" t="s">
        <v>2989</v>
      </c>
      <c r="D1391" s="3" t="s">
        <v>2990</v>
      </c>
      <c r="E1391" s="3" t="s">
        <v>2991</v>
      </c>
      <c r="F1391" s="2">
        <v>44126</v>
      </c>
      <c r="G1391" s="2">
        <v>44397</v>
      </c>
      <c r="H1391" s="2231" t="s">
        <v>37</v>
      </c>
      <c r="I1391" s="3" t="s">
        <v>178</v>
      </c>
      <c r="J1391" s="3" t="s">
        <v>156</v>
      </c>
      <c r="K1391" s="3"/>
    </row>
    <row r="1392" spans="1:11" ht="43.2" x14ac:dyDescent="0.3">
      <c r="A1392" s="3" t="s">
        <v>2992</v>
      </c>
      <c r="B1392" s="3" t="str">
        <f>"042699052"</f>
        <v>042699052</v>
      </c>
      <c r="C1392" s="3" t="s">
        <v>2993</v>
      </c>
      <c r="D1392" s="3" t="s">
        <v>2994</v>
      </c>
      <c r="E1392" s="3" t="s">
        <v>107</v>
      </c>
      <c r="F1392" s="2">
        <v>44014</v>
      </c>
      <c r="G1392" s="2"/>
      <c r="H1392" s="2232" t="s">
        <v>17</v>
      </c>
      <c r="I1392" s="3" t="s">
        <v>41</v>
      </c>
      <c r="J1392" s="3" t="s">
        <v>19</v>
      </c>
      <c r="K1392" s="3"/>
    </row>
    <row r="1393" spans="1:11" ht="43.2" x14ac:dyDescent="0.3">
      <c r="A1393" s="3" t="s">
        <v>2995</v>
      </c>
      <c r="B1393" s="3" t="str">
        <f>"025320021"</f>
        <v>025320021</v>
      </c>
      <c r="C1393" s="3" t="s">
        <v>2996</v>
      </c>
      <c r="D1393" s="3" t="s">
        <v>2997</v>
      </c>
      <c r="E1393" s="3" t="s">
        <v>307</v>
      </c>
      <c r="F1393" s="2">
        <v>43891</v>
      </c>
      <c r="G1393" s="2"/>
      <c r="H1393" s="2233" t="s">
        <v>37</v>
      </c>
      <c r="I1393" s="2234" t="s">
        <v>18</v>
      </c>
      <c r="J1393" s="3" t="s">
        <v>19</v>
      </c>
      <c r="K1393" s="3"/>
    </row>
    <row r="1394" spans="1:11" ht="43.2" x14ac:dyDescent="0.3">
      <c r="A1394" s="3" t="s">
        <v>2995</v>
      </c>
      <c r="B1394" s="3" t="str">
        <f>"025320058"</f>
        <v>025320058</v>
      </c>
      <c r="C1394" s="3" t="s">
        <v>2996</v>
      </c>
      <c r="D1394" s="3" t="s">
        <v>2998</v>
      </c>
      <c r="E1394" s="3" t="s">
        <v>307</v>
      </c>
      <c r="F1394" s="2">
        <v>43454</v>
      </c>
      <c r="G1394" s="2"/>
      <c r="H1394" s="2235" t="s">
        <v>37</v>
      </c>
      <c r="I1394" s="2236" t="s">
        <v>18</v>
      </c>
      <c r="J1394" s="3" t="s">
        <v>19</v>
      </c>
      <c r="K1394" s="3"/>
    </row>
    <row r="1395" spans="1:11" ht="43.2" x14ac:dyDescent="0.3">
      <c r="A1395" s="3" t="s">
        <v>2995</v>
      </c>
      <c r="B1395" s="3" t="str">
        <f>"025320060"</f>
        <v>025320060</v>
      </c>
      <c r="C1395" s="3" t="s">
        <v>2996</v>
      </c>
      <c r="D1395" s="3" t="s">
        <v>2999</v>
      </c>
      <c r="E1395" s="3" t="s">
        <v>307</v>
      </c>
      <c r="F1395" s="2">
        <v>43486</v>
      </c>
      <c r="G1395" s="2"/>
      <c r="H1395" s="2237" t="s">
        <v>37</v>
      </c>
      <c r="I1395" s="2238" t="s">
        <v>18</v>
      </c>
      <c r="J1395" s="3" t="s">
        <v>19</v>
      </c>
      <c r="K1395" s="3"/>
    </row>
    <row r="1396" spans="1:11" ht="43.2" x14ac:dyDescent="0.3">
      <c r="A1396" s="3" t="s">
        <v>3000</v>
      </c>
      <c r="B1396" s="3" t="str">
        <f>"025519036"</f>
        <v>025519036</v>
      </c>
      <c r="C1396" s="3" t="s">
        <v>3001</v>
      </c>
      <c r="D1396" s="3" t="s">
        <v>3002</v>
      </c>
      <c r="E1396" s="3" t="s">
        <v>161</v>
      </c>
      <c r="F1396" s="2">
        <v>44119</v>
      </c>
      <c r="G1396" s="2"/>
      <c r="H1396" s="2239" t="s">
        <v>17</v>
      </c>
      <c r="I1396" s="2240" t="s">
        <v>18</v>
      </c>
      <c r="J1396" s="3" t="s">
        <v>19</v>
      </c>
      <c r="K1396" s="3"/>
    </row>
    <row r="1397" spans="1:11" ht="43.2" x14ac:dyDescent="0.3">
      <c r="A1397" s="3" t="s">
        <v>3003</v>
      </c>
      <c r="B1397" s="3" t="str">
        <f>"006570093"</f>
        <v>006570093</v>
      </c>
      <c r="C1397" s="3" t="s">
        <v>3004</v>
      </c>
      <c r="D1397" s="3" t="s">
        <v>3005</v>
      </c>
      <c r="E1397" s="3" t="s">
        <v>1123</v>
      </c>
      <c r="F1397" s="2">
        <v>43448</v>
      </c>
      <c r="G1397" s="2"/>
      <c r="H1397" s="2241" t="s">
        <v>17</v>
      </c>
      <c r="I1397" s="2242" t="s">
        <v>18</v>
      </c>
      <c r="J1397" s="3" t="s">
        <v>19</v>
      </c>
      <c r="K1397" s="3"/>
    </row>
    <row r="1398" spans="1:11" ht="43.2" x14ac:dyDescent="0.3">
      <c r="A1398" s="3" t="s">
        <v>3003</v>
      </c>
      <c r="B1398" s="3" t="str">
        <f>"006570271"</f>
        <v>006570271</v>
      </c>
      <c r="C1398" s="3" t="s">
        <v>3004</v>
      </c>
      <c r="D1398" s="3" t="s">
        <v>3006</v>
      </c>
      <c r="E1398" s="3" t="s">
        <v>1123</v>
      </c>
      <c r="F1398" s="2">
        <v>42975</v>
      </c>
      <c r="G1398" s="2"/>
      <c r="H1398" s="2243" t="s">
        <v>17</v>
      </c>
      <c r="I1398" s="2244" t="s">
        <v>18</v>
      </c>
      <c r="J1398" s="3" t="s">
        <v>19</v>
      </c>
      <c r="K1398" s="3"/>
    </row>
    <row r="1399" spans="1:11" ht="57.6" x14ac:dyDescent="0.3">
      <c r="A1399" s="3" t="s">
        <v>3007</v>
      </c>
      <c r="B1399" s="3" t="str">
        <f>"038459018"</f>
        <v>038459018</v>
      </c>
      <c r="C1399" s="3" t="s">
        <v>3008</v>
      </c>
      <c r="D1399" s="3" t="s">
        <v>3009</v>
      </c>
      <c r="E1399" s="3" t="s">
        <v>151</v>
      </c>
      <c r="F1399" s="2">
        <v>42766</v>
      </c>
      <c r="G1399" s="2"/>
      <c r="H1399" s="2245" t="s">
        <v>17</v>
      </c>
      <c r="I1399" s="2246" t="s">
        <v>1773</v>
      </c>
      <c r="J1399" s="3" t="s">
        <v>19</v>
      </c>
      <c r="K1399" s="3"/>
    </row>
    <row r="1400" spans="1:11" ht="43.2" x14ac:dyDescent="0.3">
      <c r="A1400" s="3" t="s">
        <v>3010</v>
      </c>
      <c r="B1400" s="3" t="str">
        <f>"031587013"</f>
        <v>031587013</v>
      </c>
      <c r="C1400" s="3" t="s">
        <v>3011</v>
      </c>
      <c r="D1400" s="3" t="s">
        <v>3012</v>
      </c>
      <c r="E1400" s="3" t="s">
        <v>2307</v>
      </c>
      <c r="F1400" s="2">
        <v>42387</v>
      </c>
      <c r="G1400" s="2"/>
      <c r="H1400" s="2247" t="s">
        <v>17</v>
      </c>
      <c r="I1400" s="2248" t="s">
        <v>32</v>
      </c>
      <c r="J1400" s="3" t="s">
        <v>19</v>
      </c>
      <c r="K1400" s="3"/>
    </row>
    <row r="1401" spans="1:11" ht="43.2" x14ac:dyDescent="0.3">
      <c r="A1401" s="3" t="s">
        <v>3013</v>
      </c>
      <c r="B1401" s="3" t="str">
        <f>"038964019"</f>
        <v>038964019</v>
      </c>
      <c r="C1401" s="3" t="s">
        <v>3014</v>
      </c>
      <c r="D1401" s="3" t="s">
        <v>3015</v>
      </c>
      <c r="E1401" s="3" t="s">
        <v>3016</v>
      </c>
      <c r="F1401" s="2">
        <v>43616</v>
      </c>
      <c r="G1401" s="2"/>
      <c r="H1401" s="2249" t="s">
        <v>17</v>
      </c>
      <c r="I1401" s="2250" t="s">
        <v>32</v>
      </c>
      <c r="J1401" s="3" t="s">
        <v>19</v>
      </c>
      <c r="K1401" s="3"/>
    </row>
    <row r="1402" spans="1:11" ht="43.2" x14ac:dyDescent="0.3">
      <c r="A1402" s="3" t="s">
        <v>3017</v>
      </c>
      <c r="B1402" s="3" t="str">
        <f>"021409368"</f>
        <v>021409368</v>
      </c>
      <c r="C1402" s="3" t="s">
        <v>848</v>
      </c>
      <c r="D1402" s="3" t="s">
        <v>3018</v>
      </c>
      <c r="E1402" s="3" t="s">
        <v>255</v>
      </c>
      <c r="F1402" s="2">
        <v>43175</v>
      </c>
      <c r="G1402" s="2"/>
      <c r="H1402" s="2251" t="s">
        <v>17</v>
      </c>
      <c r="I1402" s="2252" t="s">
        <v>32</v>
      </c>
      <c r="J1402" s="3" t="s">
        <v>19</v>
      </c>
      <c r="K1402" s="3"/>
    </row>
    <row r="1403" spans="1:11" ht="43.2" x14ac:dyDescent="0.3">
      <c r="A1403" s="3" t="s">
        <v>3019</v>
      </c>
      <c r="B1403" s="3" t="str">
        <f>"037903010"</f>
        <v>037903010</v>
      </c>
      <c r="C1403" s="3" t="s">
        <v>465</v>
      </c>
      <c r="D1403" s="3" t="s">
        <v>3020</v>
      </c>
      <c r="E1403" s="3" t="s">
        <v>126</v>
      </c>
      <c r="F1403" s="2">
        <v>43837</v>
      </c>
      <c r="G1403" s="2"/>
      <c r="H1403" s="2253" t="s">
        <v>17</v>
      </c>
      <c r="I1403" s="2254" t="s">
        <v>32</v>
      </c>
      <c r="J1403" s="3" t="s">
        <v>19</v>
      </c>
      <c r="K1403" s="3"/>
    </row>
    <row r="1404" spans="1:11" ht="43.2" x14ac:dyDescent="0.3">
      <c r="A1404" s="3" t="s">
        <v>3021</v>
      </c>
      <c r="B1404" s="3" t="str">
        <f>"034521017"</f>
        <v>034521017</v>
      </c>
      <c r="C1404" s="3" t="s">
        <v>3022</v>
      </c>
      <c r="D1404" s="3" t="s">
        <v>3023</v>
      </c>
      <c r="E1404" s="3" t="s">
        <v>3024</v>
      </c>
      <c r="F1404" s="2">
        <v>43983</v>
      </c>
      <c r="G1404" s="2">
        <v>44134</v>
      </c>
      <c r="H1404" s="2255" t="s">
        <v>37</v>
      </c>
      <c r="I1404" s="3" t="s">
        <v>41</v>
      </c>
      <c r="J1404" s="3" t="s">
        <v>19</v>
      </c>
      <c r="K1404" s="3"/>
    </row>
    <row r="1405" spans="1:11" ht="43.2" x14ac:dyDescent="0.3">
      <c r="A1405" s="3" t="s">
        <v>3021</v>
      </c>
      <c r="B1405" s="3" t="str">
        <f>"034521043"</f>
        <v>034521043</v>
      </c>
      <c r="C1405" s="3" t="s">
        <v>3022</v>
      </c>
      <c r="D1405" s="3" t="s">
        <v>3025</v>
      </c>
      <c r="E1405" s="3" t="s">
        <v>3024</v>
      </c>
      <c r="F1405" s="2">
        <v>43983</v>
      </c>
      <c r="G1405" s="2">
        <v>44134</v>
      </c>
      <c r="H1405" s="2256" t="s">
        <v>37</v>
      </c>
      <c r="I1405" s="3" t="s">
        <v>41</v>
      </c>
      <c r="J1405" s="3" t="s">
        <v>19</v>
      </c>
      <c r="K1405" s="3"/>
    </row>
    <row r="1406" spans="1:11" ht="43.2" x14ac:dyDescent="0.3">
      <c r="A1406" s="3" t="s">
        <v>3026</v>
      </c>
      <c r="B1406" s="3" t="str">
        <f>"026324018"</f>
        <v>026324018</v>
      </c>
      <c r="C1406" s="3" t="s">
        <v>3027</v>
      </c>
      <c r="D1406" s="3" t="s">
        <v>3028</v>
      </c>
      <c r="E1406" s="3" t="s">
        <v>270</v>
      </c>
      <c r="F1406" s="2">
        <v>44242</v>
      </c>
      <c r="G1406" s="2">
        <v>44500</v>
      </c>
      <c r="H1406" s="2257" t="s">
        <v>37</v>
      </c>
      <c r="I1406" s="3" t="s">
        <v>41</v>
      </c>
      <c r="J1406" s="3" t="s">
        <v>19</v>
      </c>
      <c r="K1406" s="3"/>
    </row>
    <row r="1407" spans="1:11" ht="43.2" x14ac:dyDescent="0.3">
      <c r="A1407" s="3" t="s">
        <v>3029</v>
      </c>
      <c r="B1407" s="3" t="str">
        <f>"022839120"</f>
        <v>022839120</v>
      </c>
      <c r="C1407" s="3" t="s">
        <v>3030</v>
      </c>
      <c r="D1407" s="3" t="s">
        <v>3031</v>
      </c>
      <c r="E1407" s="3" t="s">
        <v>3032</v>
      </c>
      <c r="F1407" s="2">
        <v>43282</v>
      </c>
      <c r="G1407" s="2"/>
      <c r="H1407" s="2258" t="s">
        <v>37</v>
      </c>
      <c r="I1407" s="2259" t="s">
        <v>32</v>
      </c>
      <c r="J1407" s="3" t="s">
        <v>19</v>
      </c>
      <c r="K1407" s="3"/>
    </row>
    <row r="1408" spans="1:11" ht="43.2" x14ac:dyDescent="0.3">
      <c r="A1408" s="3" t="s">
        <v>3029</v>
      </c>
      <c r="B1408" s="3" t="str">
        <f>"022839183"</f>
        <v>022839183</v>
      </c>
      <c r="C1408" s="3" t="s">
        <v>3030</v>
      </c>
      <c r="D1408" s="3" t="s">
        <v>3033</v>
      </c>
      <c r="E1408" s="3" t="s">
        <v>3032</v>
      </c>
      <c r="F1408" s="2">
        <v>43525</v>
      </c>
      <c r="G1408" s="2"/>
      <c r="H1408" s="2260" t="s">
        <v>37</v>
      </c>
      <c r="I1408" s="2261" t="s">
        <v>32</v>
      </c>
      <c r="J1408" s="3" t="s">
        <v>19</v>
      </c>
      <c r="K1408" s="3"/>
    </row>
    <row r="1409" spans="1:11" ht="43.2" x14ac:dyDescent="0.3">
      <c r="A1409" s="3" t="s">
        <v>3034</v>
      </c>
      <c r="B1409" s="3" t="str">
        <f>"023102066"</f>
        <v>023102066</v>
      </c>
      <c r="C1409" s="3" t="s">
        <v>3035</v>
      </c>
      <c r="D1409" s="3" t="s">
        <v>3036</v>
      </c>
      <c r="E1409" s="3" t="s">
        <v>3032</v>
      </c>
      <c r="F1409" s="2">
        <v>43525</v>
      </c>
      <c r="G1409" s="2"/>
      <c r="H1409" s="2262" t="s">
        <v>37</v>
      </c>
      <c r="I1409" s="2263" t="s">
        <v>32</v>
      </c>
      <c r="J1409" s="3" t="s">
        <v>19</v>
      </c>
      <c r="K1409" s="3"/>
    </row>
    <row r="1410" spans="1:11" ht="72" x14ac:dyDescent="0.3">
      <c r="A1410" s="3" t="s">
        <v>3037</v>
      </c>
      <c r="B1410" s="3" t="str">
        <f>"045006018"</f>
        <v>045006018</v>
      </c>
      <c r="C1410" s="3" t="s">
        <v>253</v>
      </c>
      <c r="D1410" s="3" t="s">
        <v>3038</v>
      </c>
      <c r="E1410" s="3" t="s">
        <v>690</v>
      </c>
      <c r="F1410" s="2">
        <v>43969</v>
      </c>
      <c r="G1410" s="2">
        <v>44012</v>
      </c>
      <c r="H1410" s="2264" t="s">
        <v>17</v>
      </c>
      <c r="I1410" s="3" t="s">
        <v>41</v>
      </c>
      <c r="J1410" s="3" t="s">
        <v>156</v>
      </c>
      <c r="K1410" s="3"/>
    </row>
    <row r="1411" spans="1:11" ht="43.2" x14ac:dyDescent="0.3">
      <c r="A1411" s="3" t="s">
        <v>3039</v>
      </c>
      <c r="B1411" s="3" t="str">
        <f>"037067081"</f>
        <v>037067081</v>
      </c>
      <c r="C1411" s="3" t="s">
        <v>3040</v>
      </c>
      <c r="D1411" s="3" t="s">
        <v>3041</v>
      </c>
      <c r="E1411" s="3" t="s">
        <v>107</v>
      </c>
      <c r="F1411" s="2">
        <v>43952</v>
      </c>
      <c r="G1411" s="2"/>
      <c r="H1411" s="2265" t="s">
        <v>17</v>
      </c>
      <c r="I1411" s="3" t="s">
        <v>41</v>
      </c>
      <c r="J1411" s="3" t="s">
        <v>19</v>
      </c>
      <c r="K1411" s="3"/>
    </row>
    <row r="1412" spans="1:11" ht="43.2" x14ac:dyDescent="0.3">
      <c r="A1412" s="3" t="s">
        <v>3042</v>
      </c>
      <c r="B1412" s="3" t="str">
        <f>"037069022"</f>
        <v>037069022</v>
      </c>
      <c r="C1412" s="3" t="s">
        <v>3040</v>
      </c>
      <c r="D1412" s="3" t="s">
        <v>3043</v>
      </c>
      <c r="E1412" s="3" t="s">
        <v>56</v>
      </c>
      <c r="F1412" s="2">
        <v>41849</v>
      </c>
      <c r="G1412" s="2"/>
      <c r="H1412" s="2266" t="s">
        <v>17</v>
      </c>
      <c r="I1412" s="2267" t="s">
        <v>18</v>
      </c>
      <c r="J1412" s="3" t="s">
        <v>19</v>
      </c>
      <c r="K1412" s="3"/>
    </row>
    <row r="1413" spans="1:11" ht="43.2" x14ac:dyDescent="0.3">
      <c r="A1413" s="3" t="s">
        <v>3044</v>
      </c>
      <c r="B1413" s="3" t="str">
        <f>"042759047"</f>
        <v>042759047</v>
      </c>
      <c r="C1413" s="3" t="s">
        <v>3045</v>
      </c>
      <c r="D1413" s="3" t="s">
        <v>3046</v>
      </c>
      <c r="E1413" s="3" t="s">
        <v>3047</v>
      </c>
      <c r="F1413" s="2">
        <v>42930</v>
      </c>
      <c r="G1413" s="2"/>
      <c r="H1413" s="2268" t="s">
        <v>17</v>
      </c>
      <c r="I1413" s="2269" t="s">
        <v>18</v>
      </c>
      <c r="J1413" s="3" t="s">
        <v>19</v>
      </c>
      <c r="K1413" s="3"/>
    </row>
    <row r="1414" spans="1:11" ht="43.2" x14ac:dyDescent="0.3">
      <c r="A1414" s="3" t="s">
        <v>3044</v>
      </c>
      <c r="B1414" s="3" t="str">
        <f>"042759074"</f>
        <v>042759074</v>
      </c>
      <c r="C1414" s="3" t="s">
        <v>3045</v>
      </c>
      <c r="D1414" s="3" t="s">
        <v>3048</v>
      </c>
      <c r="E1414" s="3" t="s">
        <v>3047</v>
      </c>
      <c r="F1414" s="2">
        <v>42930</v>
      </c>
      <c r="G1414" s="2"/>
      <c r="H1414" s="2270" t="s">
        <v>17</v>
      </c>
      <c r="I1414" s="2271" t="s">
        <v>18</v>
      </c>
      <c r="J1414" s="3" t="s">
        <v>19</v>
      </c>
      <c r="K1414" s="3"/>
    </row>
    <row r="1415" spans="1:11" ht="43.2" x14ac:dyDescent="0.3">
      <c r="A1415" s="3" t="s">
        <v>3049</v>
      </c>
      <c r="B1415" s="3" t="str">
        <f>"042408043"</f>
        <v>042408043</v>
      </c>
      <c r="C1415" s="3" t="s">
        <v>3045</v>
      </c>
      <c r="D1415" s="3" t="s">
        <v>3050</v>
      </c>
      <c r="E1415" s="3" t="s">
        <v>107</v>
      </c>
      <c r="F1415" s="2">
        <v>44117</v>
      </c>
      <c r="G1415" s="2"/>
      <c r="H1415" s="2272" t="s">
        <v>17</v>
      </c>
      <c r="I1415" s="3" t="s">
        <v>41</v>
      </c>
      <c r="J1415" s="3" t="s">
        <v>19</v>
      </c>
      <c r="K1415" s="3"/>
    </row>
    <row r="1416" spans="1:11" ht="43.2" x14ac:dyDescent="0.3">
      <c r="A1416" s="3" t="s">
        <v>3049</v>
      </c>
      <c r="B1416" s="3" t="str">
        <f>"042408068"</f>
        <v>042408068</v>
      </c>
      <c r="C1416" s="3" t="s">
        <v>3045</v>
      </c>
      <c r="D1416" s="3" t="s">
        <v>3051</v>
      </c>
      <c r="E1416" s="3" t="s">
        <v>107</v>
      </c>
      <c r="F1416" s="2">
        <v>44117</v>
      </c>
      <c r="G1416" s="2"/>
      <c r="H1416" s="2273" t="s">
        <v>17</v>
      </c>
      <c r="I1416" s="3" t="s">
        <v>41</v>
      </c>
      <c r="J1416" s="3" t="s">
        <v>19</v>
      </c>
      <c r="K1416" s="3"/>
    </row>
    <row r="1417" spans="1:11" ht="43.2" x14ac:dyDescent="0.3">
      <c r="A1417" s="3" t="s">
        <v>3052</v>
      </c>
      <c r="B1417" s="3" t="str">
        <f>"020883118"</f>
        <v>020883118</v>
      </c>
      <c r="C1417" s="3" t="s">
        <v>3053</v>
      </c>
      <c r="D1417" s="3" t="s">
        <v>3054</v>
      </c>
      <c r="E1417" s="3" t="s">
        <v>1287</v>
      </c>
      <c r="F1417" s="2">
        <v>43882</v>
      </c>
      <c r="G1417" s="2"/>
      <c r="H1417" s="2274" t="s">
        <v>37</v>
      </c>
      <c r="I1417" s="2275" t="s">
        <v>18</v>
      </c>
      <c r="J1417" s="3" t="s">
        <v>19</v>
      </c>
      <c r="K1417" s="3"/>
    </row>
    <row r="1418" spans="1:11" ht="43.2" x14ac:dyDescent="0.3">
      <c r="A1418" s="3" t="s">
        <v>3055</v>
      </c>
      <c r="B1418" s="3" t="str">
        <f>"034592131"</f>
        <v>034592131</v>
      </c>
      <c r="C1418" s="3" t="s">
        <v>3056</v>
      </c>
      <c r="D1418" s="3" t="s">
        <v>3057</v>
      </c>
      <c r="E1418" s="3" t="s">
        <v>850</v>
      </c>
      <c r="F1418" s="2">
        <v>44196</v>
      </c>
      <c r="G1418" s="2"/>
      <c r="H1418" s="2276" t="s">
        <v>17</v>
      </c>
      <c r="I1418" s="2277" t="s">
        <v>18</v>
      </c>
      <c r="J1418" s="3" t="s">
        <v>19</v>
      </c>
      <c r="K1418" s="3"/>
    </row>
    <row r="1419" spans="1:11" ht="43.2" x14ac:dyDescent="0.3">
      <c r="A1419" s="3" t="s">
        <v>3058</v>
      </c>
      <c r="B1419" s="3" t="str">
        <f>"035358050"</f>
        <v>035358050</v>
      </c>
      <c r="C1419" s="3" t="s">
        <v>499</v>
      </c>
      <c r="D1419" s="3" t="s">
        <v>3059</v>
      </c>
      <c r="E1419" s="3" t="s">
        <v>24</v>
      </c>
      <c r="F1419" s="2">
        <v>43664</v>
      </c>
      <c r="G1419" s="2"/>
      <c r="H1419" s="2278" t="s">
        <v>17</v>
      </c>
      <c r="I1419" s="2279" t="s">
        <v>18</v>
      </c>
      <c r="J1419" s="3" t="s">
        <v>19</v>
      </c>
      <c r="K1419" s="3"/>
    </row>
    <row r="1420" spans="1:11" ht="43.2" x14ac:dyDescent="0.3">
      <c r="A1420" s="3" t="s">
        <v>3060</v>
      </c>
      <c r="B1420" s="3" t="str">
        <f>"022589016"</f>
        <v>022589016</v>
      </c>
      <c r="C1420" s="3" t="s">
        <v>3061</v>
      </c>
      <c r="D1420" s="3" t="s">
        <v>3062</v>
      </c>
      <c r="E1420" s="3" t="s">
        <v>412</v>
      </c>
      <c r="F1420" s="2">
        <v>43032</v>
      </c>
      <c r="G1420" s="2"/>
      <c r="H1420" s="2280" t="s">
        <v>37</v>
      </c>
      <c r="I1420" s="2281" t="s">
        <v>18</v>
      </c>
      <c r="J1420" s="3" t="s">
        <v>19</v>
      </c>
      <c r="K1420" s="3"/>
    </row>
    <row r="1421" spans="1:11" ht="57.6" x14ac:dyDescent="0.3">
      <c r="A1421" s="3" t="s">
        <v>3063</v>
      </c>
      <c r="B1421" s="3" t="str">
        <f>"028109015"</f>
        <v>028109015</v>
      </c>
      <c r="C1421" s="3" t="s">
        <v>3064</v>
      </c>
      <c r="D1421" s="3" t="s">
        <v>3065</v>
      </c>
      <c r="E1421" s="3" t="s">
        <v>3066</v>
      </c>
      <c r="F1421" s="2">
        <v>43504</v>
      </c>
      <c r="G1421" s="2"/>
      <c r="H1421" s="2282" t="s">
        <v>37</v>
      </c>
      <c r="I1421" s="2283" t="s">
        <v>18</v>
      </c>
      <c r="J1421" s="3" t="s">
        <v>156</v>
      </c>
      <c r="K1421" s="3"/>
    </row>
    <row r="1422" spans="1:11" ht="43.2" x14ac:dyDescent="0.3">
      <c r="A1422" s="3" t="s">
        <v>3067</v>
      </c>
      <c r="B1422" s="3" t="str">
        <f>"034289025"</f>
        <v>034289025</v>
      </c>
      <c r="C1422" s="3" t="s">
        <v>3068</v>
      </c>
      <c r="D1422" s="3" t="s">
        <v>3069</v>
      </c>
      <c r="E1422" s="3" t="s">
        <v>1238</v>
      </c>
      <c r="F1422" s="2">
        <v>43955</v>
      </c>
      <c r="G1422" s="2">
        <v>44377</v>
      </c>
      <c r="H1422" s="2284" t="s">
        <v>17</v>
      </c>
      <c r="I1422" s="3" t="s">
        <v>41</v>
      </c>
      <c r="J1422" s="3" t="s">
        <v>19</v>
      </c>
      <c r="K1422" s="3"/>
    </row>
    <row r="1423" spans="1:11" ht="43.2" x14ac:dyDescent="0.3">
      <c r="A1423" s="3" t="s">
        <v>3070</v>
      </c>
      <c r="B1423" s="3" t="str">
        <f>"040592014"</f>
        <v>040592014</v>
      </c>
      <c r="C1423" s="3" t="s">
        <v>3071</v>
      </c>
      <c r="D1423" s="3" t="s">
        <v>3072</v>
      </c>
      <c r="E1423" s="3" t="s">
        <v>83</v>
      </c>
      <c r="F1423" s="2">
        <v>43312</v>
      </c>
      <c r="G1423" s="2"/>
      <c r="H1423" s="2285" t="s">
        <v>17</v>
      </c>
      <c r="I1423" s="3" t="s">
        <v>41</v>
      </c>
      <c r="J1423" s="3" t="s">
        <v>19</v>
      </c>
      <c r="K1423" s="3"/>
    </row>
    <row r="1424" spans="1:11" ht="43.2" x14ac:dyDescent="0.3">
      <c r="A1424" s="3" t="s">
        <v>3070</v>
      </c>
      <c r="B1424" s="3" t="str">
        <f>"040592038"</f>
        <v>040592038</v>
      </c>
      <c r="C1424" s="3" t="s">
        <v>3071</v>
      </c>
      <c r="D1424" s="3" t="s">
        <v>3073</v>
      </c>
      <c r="E1424" s="3" t="s">
        <v>83</v>
      </c>
      <c r="F1424" s="2">
        <v>43312</v>
      </c>
      <c r="G1424" s="2"/>
      <c r="H1424" s="2286" t="s">
        <v>17</v>
      </c>
      <c r="I1424" s="3" t="s">
        <v>41</v>
      </c>
      <c r="J1424" s="3" t="s">
        <v>19</v>
      </c>
      <c r="K1424" s="3"/>
    </row>
    <row r="1425" spans="1:11" ht="43.2" x14ac:dyDescent="0.3">
      <c r="A1425" s="3" t="s">
        <v>3074</v>
      </c>
      <c r="B1425" s="3" t="str">
        <f>"040668028"</f>
        <v>040668028</v>
      </c>
      <c r="C1425" s="3" t="s">
        <v>3071</v>
      </c>
      <c r="D1425" s="3" t="s">
        <v>3075</v>
      </c>
      <c r="E1425" s="3" t="s">
        <v>24</v>
      </c>
      <c r="F1425" s="2">
        <v>43213</v>
      </c>
      <c r="G1425" s="2"/>
      <c r="H1425" s="2287" t="s">
        <v>17</v>
      </c>
      <c r="I1425" s="2288" t="s">
        <v>18</v>
      </c>
      <c r="J1425" s="3" t="s">
        <v>19</v>
      </c>
      <c r="K1425" s="3"/>
    </row>
    <row r="1426" spans="1:11" ht="43.2" x14ac:dyDescent="0.3">
      <c r="A1426" s="3" t="s">
        <v>3074</v>
      </c>
      <c r="B1426" s="3" t="str">
        <f>"040668030"</f>
        <v>040668030</v>
      </c>
      <c r="C1426" s="3" t="s">
        <v>3071</v>
      </c>
      <c r="D1426" s="3" t="s">
        <v>3076</v>
      </c>
      <c r="E1426" s="3" t="s">
        <v>24</v>
      </c>
      <c r="F1426" s="2">
        <v>43214</v>
      </c>
      <c r="G1426" s="2"/>
      <c r="H1426" s="2289" t="s">
        <v>17</v>
      </c>
      <c r="I1426" s="2290" t="s">
        <v>18</v>
      </c>
      <c r="J1426" s="3" t="s">
        <v>19</v>
      </c>
      <c r="K1426" s="3"/>
    </row>
    <row r="1427" spans="1:11" ht="43.2" x14ac:dyDescent="0.3">
      <c r="A1427" s="3" t="s">
        <v>3074</v>
      </c>
      <c r="B1427" s="3" t="str">
        <f>"040668081"</f>
        <v>040668081</v>
      </c>
      <c r="C1427" s="3" t="s">
        <v>3071</v>
      </c>
      <c r="D1427" s="3" t="s">
        <v>3077</v>
      </c>
      <c r="E1427" s="3" t="s">
        <v>24</v>
      </c>
      <c r="F1427" s="2">
        <v>43215</v>
      </c>
      <c r="G1427" s="2"/>
      <c r="H1427" s="2291" t="s">
        <v>17</v>
      </c>
      <c r="I1427" s="2292" t="s">
        <v>18</v>
      </c>
      <c r="J1427" s="3" t="s">
        <v>19</v>
      </c>
      <c r="K1427" s="3"/>
    </row>
    <row r="1428" spans="1:11" ht="43.2" x14ac:dyDescent="0.3">
      <c r="A1428" s="3" t="s">
        <v>3074</v>
      </c>
      <c r="B1428" s="3" t="str">
        <f>"040668105"</f>
        <v>040668105</v>
      </c>
      <c r="C1428" s="3" t="s">
        <v>3071</v>
      </c>
      <c r="D1428" s="3" t="s">
        <v>3078</v>
      </c>
      <c r="E1428" s="3" t="s">
        <v>24</v>
      </c>
      <c r="F1428" s="2">
        <v>43216</v>
      </c>
      <c r="G1428" s="2"/>
      <c r="H1428" s="2293" t="s">
        <v>17</v>
      </c>
      <c r="I1428" s="2294" t="s">
        <v>18</v>
      </c>
      <c r="J1428" s="3" t="s">
        <v>19</v>
      </c>
      <c r="K1428" s="3"/>
    </row>
    <row r="1429" spans="1:11" ht="43.2" x14ac:dyDescent="0.3">
      <c r="A1429" s="3" t="s">
        <v>3079</v>
      </c>
      <c r="B1429" s="3" t="str">
        <f>"039046065"</f>
        <v>039046065</v>
      </c>
      <c r="C1429" s="3" t="s">
        <v>3071</v>
      </c>
      <c r="D1429" s="3" t="s">
        <v>3080</v>
      </c>
      <c r="E1429" s="3" t="s">
        <v>56</v>
      </c>
      <c r="F1429" s="2">
        <v>43293</v>
      </c>
      <c r="G1429" s="2"/>
      <c r="H1429" s="2295" t="s">
        <v>17</v>
      </c>
      <c r="I1429" s="2296" t="s">
        <v>18</v>
      </c>
      <c r="J1429" s="3" t="s">
        <v>19</v>
      </c>
      <c r="K1429" s="3"/>
    </row>
    <row r="1430" spans="1:11" ht="43.2" x14ac:dyDescent="0.3">
      <c r="A1430" s="3" t="s">
        <v>3079</v>
      </c>
      <c r="B1430" s="3" t="str">
        <f>"039046228"</f>
        <v>039046228</v>
      </c>
      <c r="C1430" s="3" t="s">
        <v>3071</v>
      </c>
      <c r="D1430" s="3" t="s">
        <v>3081</v>
      </c>
      <c r="E1430" s="3" t="s">
        <v>56</v>
      </c>
      <c r="F1430" s="2">
        <v>43293</v>
      </c>
      <c r="G1430" s="2"/>
      <c r="H1430" s="2297" t="s">
        <v>17</v>
      </c>
      <c r="I1430" s="2298" t="s">
        <v>18</v>
      </c>
      <c r="J1430" s="3" t="s">
        <v>19</v>
      </c>
      <c r="K1430" s="3"/>
    </row>
    <row r="1431" spans="1:11" ht="43.2" x14ac:dyDescent="0.3">
      <c r="A1431" s="3" t="s">
        <v>3082</v>
      </c>
      <c r="B1431" s="3" t="str">
        <f>"019888092"</f>
        <v>019888092</v>
      </c>
      <c r="C1431" s="3" t="s">
        <v>3083</v>
      </c>
      <c r="D1431" s="3" t="s">
        <v>3084</v>
      </c>
      <c r="E1431" s="3" t="s">
        <v>412</v>
      </c>
      <c r="F1431" s="2">
        <v>44247</v>
      </c>
      <c r="G1431" s="2">
        <v>44316</v>
      </c>
      <c r="H1431" s="2299" t="s">
        <v>17</v>
      </c>
      <c r="I1431" s="3" t="s">
        <v>92</v>
      </c>
      <c r="J1431" s="3" t="s">
        <v>19</v>
      </c>
      <c r="K1431" s="3"/>
    </row>
    <row r="1432" spans="1:11" ht="43.2" x14ac:dyDescent="0.3">
      <c r="A1432" s="3" t="s">
        <v>3082</v>
      </c>
      <c r="B1432" s="3" t="str">
        <f>"019888066"</f>
        <v>019888066</v>
      </c>
      <c r="C1432" s="3" t="s">
        <v>3083</v>
      </c>
      <c r="D1432" s="3" t="s">
        <v>3085</v>
      </c>
      <c r="E1432" s="3" t="s">
        <v>412</v>
      </c>
      <c r="F1432" s="2">
        <v>44089</v>
      </c>
      <c r="G1432" s="2">
        <v>44165</v>
      </c>
      <c r="H1432" s="2300" t="s">
        <v>17</v>
      </c>
      <c r="I1432" s="3" t="s">
        <v>41</v>
      </c>
      <c r="J1432" s="3" t="s">
        <v>19</v>
      </c>
      <c r="K1432" s="3"/>
    </row>
    <row r="1433" spans="1:11" ht="43.2" x14ac:dyDescent="0.3">
      <c r="A1433" s="3" t="s">
        <v>3082</v>
      </c>
      <c r="B1433" s="3" t="str">
        <f>"019888078"</f>
        <v>019888078</v>
      </c>
      <c r="C1433" s="3" t="s">
        <v>3083</v>
      </c>
      <c r="D1433" s="3" t="s">
        <v>3086</v>
      </c>
      <c r="E1433" s="3" t="s">
        <v>412</v>
      </c>
      <c r="F1433" s="2">
        <v>43518</v>
      </c>
      <c r="G1433" s="2">
        <v>44316</v>
      </c>
      <c r="H1433" s="2301" t="s">
        <v>17</v>
      </c>
      <c r="I1433" s="3" t="s">
        <v>41</v>
      </c>
      <c r="J1433" s="3" t="s">
        <v>19</v>
      </c>
      <c r="K1433" s="3"/>
    </row>
    <row r="1434" spans="1:11" ht="43.2" x14ac:dyDescent="0.3">
      <c r="A1434" s="3" t="s">
        <v>3082</v>
      </c>
      <c r="B1434" s="3" t="str">
        <f>"019888104"</f>
        <v>019888104</v>
      </c>
      <c r="C1434" s="3" t="s">
        <v>3083</v>
      </c>
      <c r="D1434" s="3" t="s">
        <v>3087</v>
      </c>
      <c r="E1434" s="3" t="s">
        <v>412</v>
      </c>
      <c r="F1434" s="2">
        <v>43374</v>
      </c>
      <c r="G1434" s="2"/>
      <c r="H1434" s="2302" t="s">
        <v>17</v>
      </c>
      <c r="I1434" s="3" t="s">
        <v>41</v>
      </c>
      <c r="J1434" s="3" t="s">
        <v>19</v>
      </c>
      <c r="K1434" s="3"/>
    </row>
    <row r="1435" spans="1:11" ht="43.2" x14ac:dyDescent="0.3">
      <c r="A1435" s="3" t="s">
        <v>3088</v>
      </c>
      <c r="B1435" s="3" t="str">
        <f>"029472014"</f>
        <v>029472014</v>
      </c>
      <c r="C1435" s="3" t="s">
        <v>3089</v>
      </c>
      <c r="D1435" s="3" t="s">
        <v>3090</v>
      </c>
      <c r="E1435" s="3" t="s">
        <v>270</v>
      </c>
      <c r="F1435" s="2">
        <v>44166</v>
      </c>
      <c r="G1435" s="2"/>
      <c r="H1435" s="2303" t="s">
        <v>17</v>
      </c>
      <c r="I1435" s="2304" t="s">
        <v>18</v>
      </c>
      <c r="J1435" s="3" t="s">
        <v>19</v>
      </c>
      <c r="K1435" s="3"/>
    </row>
    <row r="1436" spans="1:11" ht="43.2" x14ac:dyDescent="0.3">
      <c r="A1436" s="3" t="s">
        <v>3091</v>
      </c>
      <c r="B1436" s="3" t="str">
        <f>"035817030"</f>
        <v>035817030</v>
      </c>
      <c r="C1436" s="3" t="s">
        <v>3092</v>
      </c>
      <c r="D1436" s="3" t="s">
        <v>3093</v>
      </c>
      <c r="E1436" s="3" t="s">
        <v>3094</v>
      </c>
      <c r="F1436" s="2">
        <v>42618</v>
      </c>
      <c r="G1436" s="2"/>
      <c r="H1436" s="2305" t="s">
        <v>17</v>
      </c>
      <c r="I1436" s="2306" t="s">
        <v>32</v>
      </c>
      <c r="J1436" s="3" t="s">
        <v>19</v>
      </c>
      <c r="K1436" s="3"/>
    </row>
    <row r="1437" spans="1:11" ht="43.2" x14ac:dyDescent="0.3">
      <c r="A1437" s="3" t="s">
        <v>3095</v>
      </c>
      <c r="B1437" s="3" t="str">
        <f>"041704040"</f>
        <v>041704040</v>
      </c>
      <c r="C1437" s="3" t="s">
        <v>3096</v>
      </c>
      <c r="D1437" s="3" t="s">
        <v>3097</v>
      </c>
      <c r="E1437" s="3" t="s">
        <v>83</v>
      </c>
      <c r="F1437" s="2">
        <v>44218</v>
      </c>
      <c r="G1437" s="2"/>
      <c r="H1437" s="2307" t="s">
        <v>17</v>
      </c>
      <c r="I1437" s="3" t="s">
        <v>41</v>
      </c>
      <c r="J1437" s="3" t="s">
        <v>19</v>
      </c>
      <c r="K1437" s="3"/>
    </row>
    <row r="1438" spans="1:11" ht="43.2" x14ac:dyDescent="0.3">
      <c r="A1438" s="3" t="s">
        <v>3098</v>
      </c>
      <c r="B1438" s="3" t="str">
        <f>"032019034"</f>
        <v>032019034</v>
      </c>
      <c r="C1438" s="3" t="s">
        <v>3092</v>
      </c>
      <c r="D1438" s="3" t="s">
        <v>3093</v>
      </c>
      <c r="E1438" s="3" t="s">
        <v>107</v>
      </c>
      <c r="F1438" s="2">
        <v>43677</v>
      </c>
      <c r="G1438" s="2"/>
      <c r="H1438" s="2308" t="s">
        <v>17</v>
      </c>
      <c r="I1438" s="3" t="s">
        <v>41</v>
      </c>
      <c r="J1438" s="3" t="s">
        <v>19</v>
      </c>
      <c r="K1438" s="3"/>
    </row>
    <row r="1439" spans="1:11" ht="43.2" x14ac:dyDescent="0.3">
      <c r="A1439" s="3" t="s">
        <v>3099</v>
      </c>
      <c r="B1439" s="3" t="str">
        <f>"044177018"</f>
        <v>044177018</v>
      </c>
      <c r="C1439" s="3" t="s">
        <v>3100</v>
      </c>
      <c r="D1439" s="3" t="s">
        <v>3101</v>
      </c>
      <c r="E1439" s="3" t="s">
        <v>16</v>
      </c>
      <c r="F1439" s="2">
        <v>43496</v>
      </c>
      <c r="G1439" s="2">
        <v>44227</v>
      </c>
      <c r="H1439" s="2309" t="s">
        <v>17</v>
      </c>
      <c r="I1439" s="3" t="s">
        <v>41</v>
      </c>
      <c r="J1439" s="3" t="s">
        <v>19</v>
      </c>
      <c r="K1439" s="3"/>
    </row>
    <row r="1440" spans="1:11" ht="43.2" x14ac:dyDescent="0.3">
      <c r="A1440" s="3" t="s">
        <v>3099</v>
      </c>
      <c r="B1440" s="3" t="str">
        <f>"044177020"</f>
        <v>044177020</v>
      </c>
      <c r="C1440" s="3" t="s">
        <v>3100</v>
      </c>
      <c r="D1440" s="3" t="s">
        <v>3102</v>
      </c>
      <c r="E1440" s="3" t="s">
        <v>16</v>
      </c>
      <c r="F1440" s="2">
        <v>44129</v>
      </c>
      <c r="G1440" s="2">
        <v>44227</v>
      </c>
      <c r="H1440" s="2310" t="s">
        <v>17</v>
      </c>
      <c r="I1440" s="3" t="s">
        <v>41</v>
      </c>
      <c r="J1440" s="3" t="s">
        <v>19</v>
      </c>
      <c r="K1440" s="3"/>
    </row>
    <row r="1441" spans="1:11" ht="72" x14ac:dyDescent="0.3">
      <c r="A1441" s="3" t="s">
        <v>3103</v>
      </c>
      <c r="B1441" s="3" t="str">
        <f>"044257044"</f>
        <v>044257044</v>
      </c>
      <c r="C1441" s="3" t="s">
        <v>3100</v>
      </c>
      <c r="D1441" s="3" t="s">
        <v>3104</v>
      </c>
      <c r="E1441" s="3" t="s">
        <v>22</v>
      </c>
      <c r="F1441" s="2">
        <v>43753</v>
      </c>
      <c r="G1441" s="2">
        <v>43862</v>
      </c>
      <c r="H1441" s="2311" t="s">
        <v>17</v>
      </c>
      <c r="I1441" s="3" t="s">
        <v>41</v>
      </c>
      <c r="J1441" s="3" t="s">
        <v>19</v>
      </c>
      <c r="K1441" s="3"/>
    </row>
    <row r="1442" spans="1:11" ht="72" x14ac:dyDescent="0.3">
      <c r="A1442" s="3" t="s">
        <v>3103</v>
      </c>
      <c r="B1442" s="3" t="str">
        <f>"044257121"</f>
        <v>044257121</v>
      </c>
      <c r="C1442" s="3" t="s">
        <v>3100</v>
      </c>
      <c r="D1442" s="3" t="s">
        <v>3105</v>
      </c>
      <c r="E1442" s="3" t="s">
        <v>22</v>
      </c>
      <c r="F1442" s="2">
        <v>43921</v>
      </c>
      <c r="G1442" s="2"/>
      <c r="H1442" s="2312" t="s">
        <v>17</v>
      </c>
      <c r="I1442" s="2313" t="s">
        <v>18</v>
      </c>
      <c r="J1442" s="3" t="s">
        <v>19</v>
      </c>
      <c r="K1442" s="3"/>
    </row>
    <row r="1443" spans="1:11" ht="43.2" x14ac:dyDescent="0.3">
      <c r="A1443" s="3" t="s">
        <v>3106</v>
      </c>
      <c r="B1443" s="3" t="str">
        <f>"025218090"</f>
        <v>025218090</v>
      </c>
      <c r="C1443" s="3" t="s">
        <v>635</v>
      </c>
      <c r="D1443" s="3" t="s">
        <v>3107</v>
      </c>
      <c r="E1443" s="3" t="s">
        <v>207</v>
      </c>
      <c r="F1443" s="2">
        <v>43575</v>
      </c>
      <c r="G1443" s="2"/>
      <c r="H1443" s="2314" t="s">
        <v>17</v>
      </c>
      <c r="I1443" s="2315" t="s">
        <v>18</v>
      </c>
      <c r="J1443" s="3" t="s">
        <v>19</v>
      </c>
      <c r="K1443" s="3"/>
    </row>
    <row r="1444" spans="1:11" ht="43.2" x14ac:dyDescent="0.3">
      <c r="A1444" s="3" t="s">
        <v>3108</v>
      </c>
      <c r="B1444" s="3" t="str">
        <f>"039770019"</f>
        <v>039770019</v>
      </c>
      <c r="C1444" s="3" t="s">
        <v>3109</v>
      </c>
      <c r="D1444" s="3" t="s">
        <v>3110</v>
      </c>
      <c r="E1444" s="3" t="s">
        <v>83</v>
      </c>
      <c r="F1444" s="2">
        <v>43234</v>
      </c>
      <c r="G1444" s="2"/>
      <c r="H1444" s="2316" t="s">
        <v>17</v>
      </c>
      <c r="I1444" s="3" t="s">
        <v>41</v>
      </c>
      <c r="J1444" s="3" t="s">
        <v>19</v>
      </c>
      <c r="K1444" s="3"/>
    </row>
    <row r="1445" spans="1:11" ht="43.2" x14ac:dyDescent="0.3">
      <c r="A1445" s="3" t="s">
        <v>3111</v>
      </c>
      <c r="B1445" s="3" t="str">
        <f>"041342015"</f>
        <v>041342015</v>
      </c>
      <c r="C1445" s="3" t="s">
        <v>3109</v>
      </c>
      <c r="D1445" s="3" t="s">
        <v>3112</v>
      </c>
      <c r="E1445" s="3" t="s">
        <v>16</v>
      </c>
      <c r="F1445" s="2">
        <v>44065</v>
      </c>
      <c r="G1445" s="2">
        <v>44255</v>
      </c>
      <c r="H1445" s="2317" t="s">
        <v>17</v>
      </c>
      <c r="I1445" s="3" t="s">
        <v>41</v>
      </c>
      <c r="J1445" s="3" t="s">
        <v>19</v>
      </c>
      <c r="K1445" s="3"/>
    </row>
    <row r="1446" spans="1:11" ht="100.8" x14ac:dyDescent="0.3">
      <c r="A1446" s="3" t="s">
        <v>3113</v>
      </c>
      <c r="B1446" s="3" t="str">
        <f>"029417019"</f>
        <v>029417019</v>
      </c>
      <c r="C1446" s="3" t="s">
        <v>1438</v>
      </c>
      <c r="D1446" s="3" t="s">
        <v>3114</v>
      </c>
      <c r="E1446" s="3" t="s">
        <v>83</v>
      </c>
      <c r="F1446" s="2">
        <v>44075</v>
      </c>
      <c r="G1446" s="2"/>
      <c r="H1446" s="2318" t="s">
        <v>37</v>
      </c>
      <c r="I1446" s="3" t="s">
        <v>178</v>
      </c>
      <c r="J1446" s="3" t="s">
        <v>240</v>
      </c>
      <c r="K1446" s="3" t="s">
        <v>1303</v>
      </c>
    </row>
    <row r="1447" spans="1:11" ht="100.8" x14ac:dyDescent="0.3">
      <c r="A1447" s="3" t="s">
        <v>3113</v>
      </c>
      <c r="B1447" s="3" t="str">
        <f>"029417021"</f>
        <v>029417021</v>
      </c>
      <c r="C1447" s="3" t="s">
        <v>1438</v>
      </c>
      <c r="D1447" s="3" t="s">
        <v>3115</v>
      </c>
      <c r="E1447" s="3" t="s">
        <v>83</v>
      </c>
      <c r="F1447" s="2">
        <v>43890</v>
      </c>
      <c r="G1447" s="2"/>
      <c r="H1447" s="2319" t="s">
        <v>37</v>
      </c>
      <c r="I1447" s="3" t="s">
        <v>38</v>
      </c>
      <c r="J1447" s="3" t="s">
        <v>240</v>
      </c>
      <c r="K1447" s="3" t="s">
        <v>1303</v>
      </c>
    </row>
    <row r="1448" spans="1:11" ht="86.4" x14ac:dyDescent="0.3">
      <c r="A1448" s="3" t="s">
        <v>3116</v>
      </c>
      <c r="B1448" s="3" t="str">
        <f>"039235015"</f>
        <v>039235015</v>
      </c>
      <c r="C1448" s="3" t="s">
        <v>840</v>
      </c>
      <c r="D1448" s="3" t="s">
        <v>3117</v>
      </c>
      <c r="E1448" s="3" t="s">
        <v>16</v>
      </c>
      <c r="F1448" s="2">
        <v>43070</v>
      </c>
      <c r="G1448" s="2"/>
      <c r="H1448" s="2320" t="s">
        <v>37</v>
      </c>
      <c r="I1448" s="2321" t="s">
        <v>18</v>
      </c>
      <c r="J1448" s="3" t="s">
        <v>39</v>
      </c>
      <c r="K1448" s="3"/>
    </row>
    <row r="1449" spans="1:11" ht="86.4" x14ac:dyDescent="0.3">
      <c r="A1449" s="3" t="s">
        <v>3116</v>
      </c>
      <c r="B1449" s="3" t="str">
        <f>"039235027"</f>
        <v>039235027</v>
      </c>
      <c r="C1449" s="3" t="s">
        <v>840</v>
      </c>
      <c r="D1449" s="3" t="s">
        <v>3118</v>
      </c>
      <c r="E1449" s="3" t="s">
        <v>16</v>
      </c>
      <c r="F1449" s="2">
        <v>43923</v>
      </c>
      <c r="G1449" s="2">
        <v>44165</v>
      </c>
      <c r="H1449" s="2322" t="s">
        <v>17</v>
      </c>
      <c r="I1449" s="3" t="s">
        <v>178</v>
      </c>
      <c r="J1449" s="3" t="s">
        <v>39</v>
      </c>
      <c r="K1449" s="3"/>
    </row>
    <row r="1450" spans="1:11" ht="86.4" x14ac:dyDescent="0.3">
      <c r="A1450" s="3" t="s">
        <v>3116</v>
      </c>
      <c r="B1450" s="3" t="str">
        <f>"039235039"</f>
        <v>039235039</v>
      </c>
      <c r="C1450" s="3" t="s">
        <v>840</v>
      </c>
      <c r="D1450" s="3" t="s">
        <v>3119</v>
      </c>
      <c r="E1450" s="3" t="s">
        <v>16</v>
      </c>
      <c r="F1450" s="2">
        <v>43923</v>
      </c>
      <c r="G1450" s="2">
        <v>44165</v>
      </c>
      <c r="H1450" s="2323" t="s">
        <v>17</v>
      </c>
      <c r="I1450" s="3" t="s">
        <v>178</v>
      </c>
      <c r="J1450" s="3" t="s">
        <v>39</v>
      </c>
      <c r="K1450" s="3"/>
    </row>
    <row r="1451" spans="1:11" ht="43.2" x14ac:dyDescent="0.3">
      <c r="A1451" s="3" t="s">
        <v>3116</v>
      </c>
      <c r="B1451" s="3" t="str">
        <f>"039235041"</f>
        <v>039235041</v>
      </c>
      <c r="C1451" s="3" t="s">
        <v>840</v>
      </c>
      <c r="D1451" s="3" t="s">
        <v>3120</v>
      </c>
      <c r="E1451" s="3" t="s">
        <v>16</v>
      </c>
      <c r="F1451" s="2">
        <v>43070</v>
      </c>
      <c r="G1451" s="2"/>
      <c r="H1451" s="2324" t="s">
        <v>37</v>
      </c>
      <c r="I1451" s="2325" t="s">
        <v>18</v>
      </c>
      <c r="J1451" s="3" t="s">
        <v>19</v>
      </c>
      <c r="K1451" s="3"/>
    </row>
    <row r="1452" spans="1:11" ht="86.4" x14ac:dyDescent="0.3">
      <c r="A1452" s="3" t="s">
        <v>3121</v>
      </c>
      <c r="B1452" s="3" t="str">
        <f>"039120011"</f>
        <v>039120011</v>
      </c>
      <c r="C1452" s="3" t="s">
        <v>840</v>
      </c>
      <c r="D1452" s="3" t="s">
        <v>3122</v>
      </c>
      <c r="E1452" s="3" t="s">
        <v>3123</v>
      </c>
      <c r="F1452" s="2">
        <v>43941</v>
      </c>
      <c r="G1452" s="2">
        <v>43959</v>
      </c>
      <c r="H1452" s="2326" t="s">
        <v>37</v>
      </c>
      <c r="I1452" s="3" t="s">
        <v>178</v>
      </c>
      <c r="J1452" s="3" t="s">
        <v>39</v>
      </c>
      <c r="K1452" s="3"/>
    </row>
    <row r="1453" spans="1:11" ht="86.4" x14ac:dyDescent="0.3">
      <c r="A1453" s="3" t="s">
        <v>3121</v>
      </c>
      <c r="B1453" s="3" t="str">
        <f>"039120023"</f>
        <v>039120023</v>
      </c>
      <c r="C1453" s="3" t="s">
        <v>840</v>
      </c>
      <c r="D1453" s="3" t="s">
        <v>3124</v>
      </c>
      <c r="E1453" s="3" t="s">
        <v>3123</v>
      </c>
      <c r="F1453" s="2">
        <v>43941</v>
      </c>
      <c r="G1453" s="2">
        <v>43982</v>
      </c>
      <c r="H1453" s="2327" t="s">
        <v>37</v>
      </c>
      <c r="I1453" s="3" t="s">
        <v>178</v>
      </c>
      <c r="J1453" s="3" t="s">
        <v>39</v>
      </c>
      <c r="K1453" s="3"/>
    </row>
    <row r="1454" spans="1:11" ht="57.6" x14ac:dyDescent="0.3">
      <c r="A1454" s="3" t="s">
        <v>3125</v>
      </c>
      <c r="B1454" s="3" t="str">
        <f>"038704019"</f>
        <v>038704019</v>
      </c>
      <c r="C1454" s="3" t="s">
        <v>3126</v>
      </c>
      <c r="D1454" s="3" t="s">
        <v>3127</v>
      </c>
      <c r="E1454" s="3" t="s">
        <v>3128</v>
      </c>
      <c r="F1454" s="2">
        <v>42919</v>
      </c>
      <c r="G1454" s="2"/>
      <c r="H1454" s="2328" t="s">
        <v>37</v>
      </c>
      <c r="I1454" s="2329" t="s">
        <v>18</v>
      </c>
      <c r="J1454" s="3" t="s">
        <v>156</v>
      </c>
      <c r="K1454" s="3"/>
    </row>
    <row r="1455" spans="1:11" ht="72" x14ac:dyDescent="0.3">
      <c r="A1455" s="3" t="s">
        <v>3129</v>
      </c>
      <c r="B1455" s="3" t="str">
        <f>"035657016"</f>
        <v>035657016</v>
      </c>
      <c r="C1455" s="3" t="s">
        <v>692</v>
      </c>
      <c r="D1455" s="3" t="s">
        <v>3130</v>
      </c>
      <c r="E1455" s="3" t="s">
        <v>809</v>
      </c>
      <c r="F1455" s="2">
        <v>43586</v>
      </c>
      <c r="G1455" s="2"/>
      <c r="H1455" s="2330" t="s">
        <v>17</v>
      </c>
      <c r="I1455" s="2331" t="s">
        <v>18</v>
      </c>
      <c r="J1455" s="3" t="s">
        <v>19</v>
      </c>
      <c r="K1455" s="3"/>
    </row>
    <row r="1456" spans="1:11" ht="43.2" x14ac:dyDescent="0.3">
      <c r="A1456" s="3" t="s">
        <v>3131</v>
      </c>
      <c r="B1456" s="3" t="str">
        <f>"034413132"</f>
        <v>034413132</v>
      </c>
      <c r="C1456" s="3" t="s">
        <v>692</v>
      </c>
      <c r="D1456" s="3" t="s">
        <v>3132</v>
      </c>
      <c r="E1456" s="3" t="s">
        <v>1416</v>
      </c>
      <c r="F1456" s="2">
        <v>43101</v>
      </c>
      <c r="G1456" s="2"/>
      <c r="H1456" s="2332" t="s">
        <v>17</v>
      </c>
      <c r="I1456" s="2333" t="s">
        <v>18</v>
      </c>
      <c r="J1456" s="3" t="s">
        <v>19</v>
      </c>
      <c r="K1456" s="3"/>
    </row>
    <row r="1457" spans="1:11" ht="43.2" x14ac:dyDescent="0.3">
      <c r="A1457" s="3" t="s">
        <v>3131</v>
      </c>
      <c r="B1457" s="3" t="str">
        <f>"034413284"</f>
        <v>034413284</v>
      </c>
      <c r="C1457" s="3" t="s">
        <v>692</v>
      </c>
      <c r="D1457" s="3" t="s">
        <v>3133</v>
      </c>
      <c r="E1457" s="3" t="s">
        <v>1416</v>
      </c>
      <c r="F1457" s="2">
        <v>43040</v>
      </c>
      <c r="G1457" s="2"/>
      <c r="H1457" s="2334" t="s">
        <v>17</v>
      </c>
      <c r="I1457" s="2335" t="s">
        <v>18</v>
      </c>
      <c r="J1457" s="3" t="s">
        <v>19</v>
      </c>
      <c r="K1457" s="3"/>
    </row>
    <row r="1458" spans="1:11" ht="57.6" x14ac:dyDescent="0.3">
      <c r="A1458" s="3" t="s">
        <v>3131</v>
      </c>
      <c r="B1458" s="3" t="str">
        <f>"034413462"</f>
        <v>034413462</v>
      </c>
      <c r="C1458" s="3" t="s">
        <v>692</v>
      </c>
      <c r="D1458" s="3" t="s">
        <v>3134</v>
      </c>
      <c r="E1458" s="3" t="s">
        <v>1416</v>
      </c>
      <c r="F1458" s="2">
        <v>44102</v>
      </c>
      <c r="G1458" s="2">
        <v>44165</v>
      </c>
      <c r="H1458" s="2336" t="s">
        <v>17</v>
      </c>
      <c r="I1458" s="3" t="s">
        <v>104</v>
      </c>
      <c r="J1458" s="3" t="s">
        <v>19</v>
      </c>
      <c r="K1458" s="3"/>
    </row>
    <row r="1459" spans="1:11" ht="43.2" x14ac:dyDescent="0.3">
      <c r="A1459" s="3" t="s">
        <v>3135</v>
      </c>
      <c r="B1459" s="3" t="str">
        <f>"045773013"</f>
        <v>045773013</v>
      </c>
      <c r="C1459" s="3" t="s">
        <v>3136</v>
      </c>
      <c r="D1459" s="3" t="s">
        <v>3137</v>
      </c>
      <c r="E1459" s="3" t="s">
        <v>3138</v>
      </c>
      <c r="F1459" s="2">
        <v>43962</v>
      </c>
      <c r="G1459" s="2">
        <v>44027</v>
      </c>
      <c r="H1459" s="2337" t="s">
        <v>17</v>
      </c>
      <c r="I1459" s="3" t="s">
        <v>41</v>
      </c>
      <c r="J1459" s="3" t="s">
        <v>240</v>
      </c>
      <c r="K1459" s="3"/>
    </row>
    <row r="1460" spans="1:11" ht="57.6" x14ac:dyDescent="0.3">
      <c r="A1460" s="3" t="s">
        <v>3139</v>
      </c>
      <c r="B1460" s="3" t="str">
        <f>"023892019"</f>
        <v>023892019</v>
      </c>
      <c r="C1460" s="3" t="s">
        <v>1664</v>
      </c>
      <c r="D1460" s="3" t="s">
        <v>3140</v>
      </c>
      <c r="E1460" s="3" t="s">
        <v>3141</v>
      </c>
      <c r="F1460" s="2">
        <v>44180</v>
      </c>
      <c r="G1460" s="2">
        <v>44562</v>
      </c>
      <c r="H1460" s="2338" t="s">
        <v>37</v>
      </c>
      <c r="I1460" s="3" t="s">
        <v>41</v>
      </c>
      <c r="J1460" s="3" t="s">
        <v>156</v>
      </c>
      <c r="K1460" s="3"/>
    </row>
    <row r="1461" spans="1:11" ht="43.2" x14ac:dyDescent="0.3">
      <c r="A1461" s="3" t="s">
        <v>3142</v>
      </c>
      <c r="B1461" s="3" t="str">
        <f>"025322025"</f>
        <v>025322025</v>
      </c>
      <c r="C1461" s="3" t="s">
        <v>2996</v>
      </c>
      <c r="D1461" s="3" t="s">
        <v>2997</v>
      </c>
      <c r="E1461" s="3" t="s">
        <v>1287</v>
      </c>
      <c r="F1461" s="2">
        <v>43891</v>
      </c>
      <c r="G1461" s="2"/>
      <c r="H1461" s="2339" t="s">
        <v>37</v>
      </c>
      <c r="I1461" s="2340" t="s">
        <v>18</v>
      </c>
      <c r="J1461" s="3" t="s">
        <v>19</v>
      </c>
      <c r="K1461" s="3"/>
    </row>
    <row r="1462" spans="1:11" ht="43.2" x14ac:dyDescent="0.3">
      <c r="A1462" s="3" t="s">
        <v>3142</v>
      </c>
      <c r="B1462" s="3" t="str">
        <f>"025322037"</f>
        <v>025322037</v>
      </c>
      <c r="C1462" s="3" t="s">
        <v>2996</v>
      </c>
      <c r="D1462" s="3" t="s">
        <v>3143</v>
      </c>
      <c r="E1462" s="3" t="s">
        <v>1287</v>
      </c>
      <c r="F1462" s="2">
        <v>43891</v>
      </c>
      <c r="G1462" s="2"/>
      <c r="H1462" s="2341" t="s">
        <v>37</v>
      </c>
      <c r="I1462" s="2342" t="s">
        <v>18</v>
      </c>
      <c r="J1462" s="3" t="s">
        <v>19</v>
      </c>
      <c r="K1462" s="3"/>
    </row>
    <row r="1463" spans="1:11" ht="43.2" x14ac:dyDescent="0.3">
      <c r="A1463" s="3" t="s">
        <v>3142</v>
      </c>
      <c r="B1463" s="3" t="str">
        <f>"025322064"</f>
        <v>025322064</v>
      </c>
      <c r="C1463" s="3" t="s">
        <v>2996</v>
      </c>
      <c r="D1463" s="3" t="s">
        <v>3144</v>
      </c>
      <c r="E1463" s="3" t="s">
        <v>1287</v>
      </c>
      <c r="F1463" s="2">
        <v>43891</v>
      </c>
      <c r="G1463" s="2"/>
      <c r="H1463" s="2343" t="s">
        <v>37</v>
      </c>
      <c r="I1463" s="2344" t="s">
        <v>18</v>
      </c>
      <c r="J1463" s="3" t="s">
        <v>19</v>
      </c>
      <c r="K1463" s="3"/>
    </row>
    <row r="1464" spans="1:11" ht="43.2" x14ac:dyDescent="0.3">
      <c r="A1464" s="3" t="s">
        <v>3145</v>
      </c>
      <c r="B1464" s="3" t="str">
        <f>"025318027"</f>
        <v>025318027</v>
      </c>
      <c r="C1464" s="3" t="s">
        <v>2996</v>
      </c>
      <c r="D1464" s="3" t="s">
        <v>2997</v>
      </c>
      <c r="E1464" s="3" t="s">
        <v>3146</v>
      </c>
      <c r="F1464" s="2">
        <v>43891</v>
      </c>
      <c r="G1464" s="2"/>
      <c r="H1464" s="2345" t="s">
        <v>37</v>
      </c>
      <c r="I1464" s="2346" t="s">
        <v>18</v>
      </c>
      <c r="J1464" s="3" t="s">
        <v>19</v>
      </c>
      <c r="K1464" s="3"/>
    </row>
    <row r="1465" spans="1:11" ht="43.2" x14ac:dyDescent="0.3">
      <c r="A1465" s="3" t="s">
        <v>3145</v>
      </c>
      <c r="B1465" s="3" t="str">
        <f>"025318054"</f>
        <v>025318054</v>
      </c>
      <c r="C1465" s="3" t="s">
        <v>2996</v>
      </c>
      <c r="D1465" s="3" t="s">
        <v>2998</v>
      </c>
      <c r="E1465" s="3" t="s">
        <v>3146</v>
      </c>
      <c r="F1465" s="2">
        <v>43891</v>
      </c>
      <c r="G1465" s="2"/>
      <c r="H1465" s="2347" t="s">
        <v>37</v>
      </c>
      <c r="I1465" s="2348" t="s">
        <v>18</v>
      </c>
      <c r="J1465" s="3" t="s">
        <v>19</v>
      </c>
      <c r="K1465" s="3"/>
    </row>
    <row r="1466" spans="1:11" ht="43.2" x14ac:dyDescent="0.3">
      <c r="A1466" s="3" t="s">
        <v>3145</v>
      </c>
      <c r="B1466" s="3" t="str">
        <f>"025318066"</f>
        <v>025318066</v>
      </c>
      <c r="C1466" s="3" t="s">
        <v>2996</v>
      </c>
      <c r="D1466" s="3" t="s">
        <v>2999</v>
      </c>
      <c r="E1466" s="3" t="s">
        <v>3146</v>
      </c>
      <c r="F1466" s="2">
        <v>43538</v>
      </c>
      <c r="G1466" s="2"/>
      <c r="H1466" s="2349" t="s">
        <v>37</v>
      </c>
      <c r="I1466" s="2350" t="s">
        <v>18</v>
      </c>
      <c r="J1466" s="3" t="s">
        <v>19</v>
      </c>
      <c r="K1466" s="3"/>
    </row>
    <row r="1467" spans="1:11" ht="43.2" x14ac:dyDescent="0.3">
      <c r="A1467" s="3" t="s">
        <v>3147</v>
      </c>
      <c r="B1467" s="3" t="str">
        <f>"024043034"</f>
        <v>024043034</v>
      </c>
      <c r="C1467" s="3" t="s">
        <v>3148</v>
      </c>
      <c r="D1467" s="3" t="s">
        <v>3149</v>
      </c>
      <c r="E1467" s="3" t="s">
        <v>303</v>
      </c>
      <c r="F1467" s="2">
        <v>44197</v>
      </c>
      <c r="G1467" s="2"/>
      <c r="H1467" s="2351" t="s">
        <v>37</v>
      </c>
      <c r="I1467" s="2352" t="s">
        <v>18</v>
      </c>
      <c r="J1467" s="3" t="s">
        <v>19</v>
      </c>
      <c r="K1467" s="3"/>
    </row>
    <row r="1468" spans="1:11" ht="43.2" x14ac:dyDescent="0.3">
      <c r="A1468" s="3" t="s">
        <v>3150</v>
      </c>
      <c r="B1468" s="3" t="str">
        <f>"036320012"</f>
        <v>036320012</v>
      </c>
      <c r="C1468" s="3" t="s">
        <v>3151</v>
      </c>
      <c r="D1468" s="3" t="s">
        <v>3152</v>
      </c>
      <c r="E1468" s="3" t="s">
        <v>1102</v>
      </c>
      <c r="F1468" s="2">
        <v>44166</v>
      </c>
      <c r="G1468" s="2"/>
      <c r="H1468" s="2353" t="s">
        <v>17</v>
      </c>
      <c r="I1468" s="2354" t="s">
        <v>18</v>
      </c>
      <c r="J1468" s="3" t="s">
        <v>19</v>
      </c>
      <c r="K1468" s="3"/>
    </row>
    <row r="1469" spans="1:11" ht="72" x14ac:dyDescent="0.3">
      <c r="A1469" s="3" t="s">
        <v>3153</v>
      </c>
      <c r="B1469" s="3" t="str">
        <f>"039836010"</f>
        <v>039836010</v>
      </c>
      <c r="C1469" s="3" t="s">
        <v>756</v>
      </c>
      <c r="D1469" s="3" t="s">
        <v>758</v>
      </c>
      <c r="E1469" s="3" t="s">
        <v>83</v>
      </c>
      <c r="F1469" s="2">
        <v>43862</v>
      </c>
      <c r="G1469" s="2">
        <v>44012</v>
      </c>
      <c r="H1469" s="2355" t="s">
        <v>17</v>
      </c>
      <c r="I1469" s="3" t="s">
        <v>41</v>
      </c>
      <c r="J1469" s="3" t="s">
        <v>19</v>
      </c>
      <c r="K1469" s="3"/>
    </row>
    <row r="1470" spans="1:11" ht="57.6" x14ac:dyDescent="0.3">
      <c r="A1470" s="3" t="s">
        <v>3154</v>
      </c>
      <c r="B1470" s="3" t="str">
        <f>"043302049"</f>
        <v>043302049</v>
      </c>
      <c r="C1470" s="3" t="s">
        <v>3155</v>
      </c>
      <c r="D1470" s="3" t="s">
        <v>3156</v>
      </c>
      <c r="E1470" s="3" t="s">
        <v>3157</v>
      </c>
      <c r="F1470" s="2">
        <v>43160</v>
      </c>
      <c r="G1470" s="2"/>
      <c r="H1470" s="2356" t="s">
        <v>17</v>
      </c>
      <c r="I1470" s="2357" t="s">
        <v>18</v>
      </c>
      <c r="J1470" s="3" t="s">
        <v>19</v>
      </c>
      <c r="K1470" s="3"/>
    </row>
    <row r="1471" spans="1:11" ht="57.6" x14ac:dyDescent="0.3">
      <c r="A1471" s="3" t="s">
        <v>3154</v>
      </c>
      <c r="B1471" s="3" t="str">
        <f>"043302052"</f>
        <v>043302052</v>
      </c>
      <c r="C1471" s="3" t="s">
        <v>3155</v>
      </c>
      <c r="D1471" s="3" t="s">
        <v>3158</v>
      </c>
      <c r="E1471" s="3" t="s">
        <v>3157</v>
      </c>
      <c r="F1471" s="2">
        <v>43466</v>
      </c>
      <c r="G1471" s="2"/>
      <c r="H1471" s="2358" t="s">
        <v>17</v>
      </c>
      <c r="I1471" s="2359" t="s">
        <v>18</v>
      </c>
      <c r="J1471" s="3" t="s">
        <v>19</v>
      </c>
      <c r="K1471" s="3"/>
    </row>
    <row r="1472" spans="1:11" ht="43.2" x14ac:dyDescent="0.3">
      <c r="A1472" s="3" t="s">
        <v>3159</v>
      </c>
      <c r="B1472" s="3" t="str">
        <f>"029316015"</f>
        <v>029316015</v>
      </c>
      <c r="C1472" s="3" t="s">
        <v>3160</v>
      </c>
      <c r="D1472" s="3" t="s">
        <v>3161</v>
      </c>
      <c r="E1472" s="3" t="s">
        <v>412</v>
      </c>
      <c r="F1472" s="2">
        <v>41185</v>
      </c>
      <c r="G1472" s="2"/>
      <c r="H1472" s="2360" t="s">
        <v>17</v>
      </c>
      <c r="I1472" s="2361" t="s">
        <v>18</v>
      </c>
      <c r="J1472" s="3" t="s">
        <v>19</v>
      </c>
      <c r="K1472" s="3"/>
    </row>
    <row r="1473" spans="1:11" ht="43.2" x14ac:dyDescent="0.3">
      <c r="A1473" s="3" t="s">
        <v>3159</v>
      </c>
      <c r="B1473" s="3" t="str">
        <f>"029316054"</f>
        <v>029316054</v>
      </c>
      <c r="C1473" s="3" t="s">
        <v>3160</v>
      </c>
      <c r="D1473" s="3" t="s">
        <v>3162</v>
      </c>
      <c r="E1473" s="3" t="s">
        <v>412</v>
      </c>
      <c r="F1473" s="2">
        <v>43465</v>
      </c>
      <c r="G1473" s="2"/>
      <c r="H1473" s="2362" t="s">
        <v>17</v>
      </c>
      <c r="I1473" s="2363" t="s">
        <v>18</v>
      </c>
      <c r="J1473" s="3" t="s">
        <v>19</v>
      </c>
      <c r="K1473" s="3"/>
    </row>
    <row r="1474" spans="1:11" ht="57.6" x14ac:dyDescent="0.3">
      <c r="A1474" s="3" t="s">
        <v>3163</v>
      </c>
      <c r="B1474" s="3" t="str">
        <f>"041926027"</f>
        <v>041926027</v>
      </c>
      <c r="C1474" s="3" t="s">
        <v>3164</v>
      </c>
      <c r="D1474" s="3" t="s">
        <v>3165</v>
      </c>
      <c r="E1474" s="3" t="s">
        <v>3128</v>
      </c>
      <c r="F1474" s="2">
        <v>43069</v>
      </c>
      <c r="G1474" s="2"/>
      <c r="H1474" s="2364" t="s">
        <v>37</v>
      </c>
      <c r="I1474" s="2365" t="s">
        <v>18</v>
      </c>
      <c r="J1474" s="3" t="s">
        <v>156</v>
      </c>
      <c r="K1474" s="3"/>
    </row>
    <row r="1475" spans="1:11" ht="43.2" x14ac:dyDescent="0.3">
      <c r="A1475" s="3" t="s">
        <v>3163</v>
      </c>
      <c r="B1475" s="3" t="str">
        <f>"041926041"</f>
        <v>041926041</v>
      </c>
      <c r="C1475" s="3" t="s">
        <v>3164</v>
      </c>
      <c r="D1475" s="3" t="s">
        <v>3166</v>
      </c>
      <c r="E1475" s="3" t="s">
        <v>3128</v>
      </c>
      <c r="F1475" s="2">
        <v>44039</v>
      </c>
      <c r="G1475" s="2">
        <v>44166</v>
      </c>
      <c r="H1475" s="2366" t="s">
        <v>37</v>
      </c>
      <c r="I1475" s="3" t="s">
        <v>178</v>
      </c>
      <c r="J1475" s="3" t="s">
        <v>240</v>
      </c>
      <c r="K1475" s="3"/>
    </row>
    <row r="1476" spans="1:11" ht="72" x14ac:dyDescent="0.3">
      <c r="A1476" s="3" t="s">
        <v>3167</v>
      </c>
      <c r="B1476" s="3" t="str">
        <f>"044530044"</f>
        <v>044530044</v>
      </c>
      <c r="C1476" s="3" t="s">
        <v>3168</v>
      </c>
      <c r="D1476" s="3" t="s">
        <v>3169</v>
      </c>
      <c r="E1476" s="3" t="s">
        <v>927</v>
      </c>
      <c r="F1476" s="2">
        <v>43756</v>
      </c>
      <c r="G1476" s="2">
        <v>44196</v>
      </c>
      <c r="H1476" s="2367" t="s">
        <v>37</v>
      </c>
      <c r="I1476" s="3" t="s">
        <v>152</v>
      </c>
      <c r="J1476" s="3" t="s">
        <v>156</v>
      </c>
      <c r="K1476" s="3"/>
    </row>
    <row r="1477" spans="1:11" ht="115.2" x14ac:dyDescent="0.3">
      <c r="A1477" s="3" t="s">
        <v>3167</v>
      </c>
      <c r="B1477" s="3" t="str">
        <f>"044530107"</f>
        <v>044530107</v>
      </c>
      <c r="C1477" s="3" t="s">
        <v>3168</v>
      </c>
      <c r="D1477" s="3" t="s">
        <v>3170</v>
      </c>
      <c r="E1477" s="3" t="s">
        <v>927</v>
      </c>
      <c r="F1477" s="2">
        <v>43784</v>
      </c>
      <c r="G1477" s="2">
        <v>44196</v>
      </c>
      <c r="H1477" s="2368" t="s">
        <v>37</v>
      </c>
      <c r="I1477" s="3" t="s">
        <v>152</v>
      </c>
      <c r="J1477" s="3" t="s">
        <v>153</v>
      </c>
      <c r="K1477" s="3"/>
    </row>
    <row r="1478" spans="1:11" ht="86.4" x14ac:dyDescent="0.3">
      <c r="A1478" s="3" t="s">
        <v>3171</v>
      </c>
      <c r="B1478" s="3" t="str">
        <f>"016766026"</f>
        <v>016766026</v>
      </c>
      <c r="C1478" s="3" t="s">
        <v>3168</v>
      </c>
      <c r="D1478" s="3" t="s">
        <v>3172</v>
      </c>
      <c r="E1478" s="3" t="s">
        <v>36</v>
      </c>
      <c r="F1478" s="2">
        <v>43636</v>
      </c>
      <c r="G1478" s="2"/>
      <c r="H1478" s="2369" t="s">
        <v>17</v>
      </c>
      <c r="I1478" s="3" t="s">
        <v>41</v>
      </c>
      <c r="J1478" s="3" t="s">
        <v>156</v>
      </c>
      <c r="K1478" s="3" t="s">
        <v>3173</v>
      </c>
    </row>
    <row r="1479" spans="1:11" ht="86.4" x14ac:dyDescent="0.3">
      <c r="A1479" s="3" t="s">
        <v>3171</v>
      </c>
      <c r="B1479" s="3" t="str">
        <f>"016766040"</f>
        <v>016766040</v>
      </c>
      <c r="C1479" s="3" t="s">
        <v>3168</v>
      </c>
      <c r="D1479" s="3" t="s">
        <v>3174</v>
      </c>
      <c r="E1479" s="3" t="s">
        <v>36</v>
      </c>
      <c r="F1479" s="2">
        <v>43619</v>
      </c>
      <c r="G1479" s="2"/>
      <c r="H1479" s="2370" t="s">
        <v>17</v>
      </c>
      <c r="I1479" s="3" t="s">
        <v>41</v>
      </c>
      <c r="J1479" s="3" t="s">
        <v>3175</v>
      </c>
      <c r="K1479" s="3" t="s">
        <v>3173</v>
      </c>
    </row>
    <row r="1480" spans="1:11" ht="43.2" x14ac:dyDescent="0.3">
      <c r="A1480" s="3" t="s">
        <v>3176</v>
      </c>
      <c r="B1480" s="3" t="str">
        <f>"043716012"</f>
        <v>043716012</v>
      </c>
      <c r="C1480" s="3" t="s">
        <v>3177</v>
      </c>
      <c r="D1480" s="3" t="s">
        <v>1568</v>
      </c>
      <c r="E1480" s="3" t="s">
        <v>16</v>
      </c>
      <c r="F1480" s="2">
        <v>43496</v>
      </c>
      <c r="G1480" s="2">
        <v>44196</v>
      </c>
      <c r="H1480" s="2371" t="s">
        <v>17</v>
      </c>
      <c r="I1480" s="3" t="s">
        <v>41</v>
      </c>
      <c r="J1480" s="3" t="s">
        <v>19</v>
      </c>
      <c r="K1480" s="3"/>
    </row>
    <row r="1481" spans="1:11" ht="43.2" x14ac:dyDescent="0.3">
      <c r="A1481" s="3" t="s">
        <v>3176</v>
      </c>
      <c r="B1481" s="3" t="str">
        <f>"043716048"</f>
        <v>043716048</v>
      </c>
      <c r="C1481" s="3" t="s">
        <v>3177</v>
      </c>
      <c r="D1481" s="3" t="s">
        <v>3178</v>
      </c>
      <c r="E1481" s="3" t="s">
        <v>16</v>
      </c>
      <c r="F1481" s="2">
        <v>43496</v>
      </c>
      <c r="G1481" s="2">
        <v>44196</v>
      </c>
      <c r="H1481" s="2372" t="s">
        <v>17</v>
      </c>
      <c r="I1481" s="3" t="s">
        <v>41</v>
      </c>
      <c r="J1481" s="3" t="s">
        <v>19</v>
      </c>
      <c r="K1481" s="3"/>
    </row>
    <row r="1482" spans="1:11" ht="57.6" x14ac:dyDescent="0.3">
      <c r="A1482" s="3" t="s">
        <v>3179</v>
      </c>
      <c r="B1482" s="3" t="str">
        <f>"028845028"</f>
        <v>028845028</v>
      </c>
      <c r="C1482" s="3" t="s">
        <v>3180</v>
      </c>
      <c r="D1482" s="3" t="s">
        <v>3181</v>
      </c>
      <c r="E1482" s="3" t="s">
        <v>255</v>
      </c>
      <c r="F1482" s="2">
        <v>43930</v>
      </c>
      <c r="G1482" s="2">
        <v>44025</v>
      </c>
      <c r="H1482" s="2373" t="s">
        <v>37</v>
      </c>
      <c r="I1482" s="3" t="s">
        <v>178</v>
      </c>
      <c r="J1482" s="3" t="s">
        <v>156</v>
      </c>
      <c r="K1482" s="3"/>
    </row>
    <row r="1483" spans="1:11" ht="43.2" x14ac:dyDescent="0.3">
      <c r="A1483" s="3" t="s">
        <v>3182</v>
      </c>
      <c r="B1483" s="3" t="str">
        <f>"031985106"</f>
        <v>031985106</v>
      </c>
      <c r="C1483" s="3" t="s">
        <v>3040</v>
      </c>
      <c r="D1483" s="3" t="s">
        <v>3183</v>
      </c>
      <c r="E1483" s="3" t="s">
        <v>3184</v>
      </c>
      <c r="F1483" s="2">
        <v>43650</v>
      </c>
      <c r="G1483" s="2"/>
      <c r="H1483" s="2374" t="s">
        <v>17</v>
      </c>
      <c r="I1483" s="2375" t="s">
        <v>18</v>
      </c>
      <c r="J1483" s="3" t="s">
        <v>19</v>
      </c>
      <c r="K1483" s="3"/>
    </row>
    <row r="1484" spans="1:11" ht="57.6" x14ac:dyDescent="0.3">
      <c r="A1484" s="3" t="s">
        <v>3185</v>
      </c>
      <c r="B1484" s="3" t="str">
        <f>"042250011"</f>
        <v>042250011</v>
      </c>
      <c r="C1484" s="3" t="s">
        <v>1312</v>
      </c>
      <c r="D1484" s="3" t="s">
        <v>3186</v>
      </c>
      <c r="E1484" s="3" t="s">
        <v>882</v>
      </c>
      <c r="F1484" s="2">
        <v>43586</v>
      </c>
      <c r="G1484" s="2"/>
      <c r="H1484" s="2376" t="s">
        <v>17</v>
      </c>
      <c r="I1484" s="2377" t="s">
        <v>18</v>
      </c>
      <c r="J1484" s="3" t="s">
        <v>19</v>
      </c>
      <c r="K1484" s="3"/>
    </row>
    <row r="1485" spans="1:11" ht="57.6" x14ac:dyDescent="0.3">
      <c r="A1485" s="3" t="s">
        <v>3185</v>
      </c>
      <c r="B1485" s="3" t="str">
        <f>"042250023"</f>
        <v>042250023</v>
      </c>
      <c r="C1485" s="3" t="s">
        <v>1312</v>
      </c>
      <c r="D1485" s="3" t="s">
        <v>3187</v>
      </c>
      <c r="E1485" s="3" t="s">
        <v>882</v>
      </c>
      <c r="F1485" s="2">
        <v>43374</v>
      </c>
      <c r="G1485" s="2"/>
      <c r="H1485" s="2378" t="s">
        <v>17</v>
      </c>
      <c r="I1485" s="2379" t="s">
        <v>18</v>
      </c>
      <c r="J1485" s="3" t="s">
        <v>19</v>
      </c>
      <c r="K1485" s="3"/>
    </row>
    <row r="1486" spans="1:11" ht="57.6" x14ac:dyDescent="0.3">
      <c r="A1486" s="3" t="s">
        <v>3188</v>
      </c>
      <c r="B1486" s="3" t="str">
        <f>"027951033"</f>
        <v>027951033</v>
      </c>
      <c r="C1486" s="3" t="s">
        <v>3189</v>
      </c>
      <c r="D1486" s="3" t="s">
        <v>3190</v>
      </c>
      <c r="E1486" s="3" t="s">
        <v>161</v>
      </c>
      <c r="F1486" s="2">
        <v>43800</v>
      </c>
      <c r="G1486" s="2"/>
      <c r="H1486" s="2380" t="s">
        <v>17</v>
      </c>
      <c r="I1486" s="2381" t="s">
        <v>18</v>
      </c>
      <c r="J1486" s="3" t="s">
        <v>156</v>
      </c>
      <c r="K1486" s="3"/>
    </row>
    <row r="1487" spans="1:11" ht="72" x14ac:dyDescent="0.3">
      <c r="A1487" s="3" t="s">
        <v>3188</v>
      </c>
      <c r="B1487" s="3" t="str">
        <f>"027951045"</f>
        <v>027951045</v>
      </c>
      <c r="C1487" s="3" t="s">
        <v>3189</v>
      </c>
      <c r="D1487" s="3" t="s">
        <v>1464</v>
      </c>
      <c r="E1487" s="3" t="s">
        <v>161</v>
      </c>
      <c r="F1487" s="2">
        <v>43721</v>
      </c>
      <c r="G1487" s="2"/>
      <c r="H1487" s="2382" t="s">
        <v>17</v>
      </c>
      <c r="I1487" s="2383" t="s">
        <v>18</v>
      </c>
      <c r="J1487" s="3" t="s">
        <v>156</v>
      </c>
      <c r="K1487" s="3"/>
    </row>
    <row r="1488" spans="1:11" ht="57.6" x14ac:dyDescent="0.3">
      <c r="A1488" s="3" t="s">
        <v>3191</v>
      </c>
      <c r="B1488" s="3" t="str">
        <f>"038643033"</f>
        <v>038643033</v>
      </c>
      <c r="C1488" s="3" t="s">
        <v>3192</v>
      </c>
      <c r="D1488" s="3" t="s">
        <v>3193</v>
      </c>
      <c r="E1488" s="3" t="s">
        <v>270</v>
      </c>
      <c r="F1488" s="2">
        <v>44075</v>
      </c>
      <c r="G1488" s="2"/>
      <c r="H1488" s="2384" t="s">
        <v>17</v>
      </c>
      <c r="I1488" s="2385" t="s">
        <v>18</v>
      </c>
      <c r="J1488" s="3" t="s">
        <v>19</v>
      </c>
      <c r="K1488" s="3"/>
    </row>
    <row r="1489" spans="1:11" ht="43.2" x14ac:dyDescent="0.3">
      <c r="A1489" s="3" t="s">
        <v>3194</v>
      </c>
      <c r="B1489" s="3" t="str">
        <f>"025829122"</f>
        <v>025829122</v>
      </c>
      <c r="C1489" s="3" t="s">
        <v>2838</v>
      </c>
      <c r="D1489" s="3" t="s">
        <v>3195</v>
      </c>
      <c r="E1489" s="3" t="s">
        <v>1353</v>
      </c>
      <c r="F1489" s="2">
        <v>43800</v>
      </c>
      <c r="G1489" s="2"/>
      <c r="H1489" s="2386" t="s">
        <v>17</v>
      </c>
      <c r="I1489" s="2387" t="s">
        <v>32</v>
      </c>
      <c r="J1489" s="3" t="s">
        <v>19</v>
      </c>
      <c r="K1489" s="3"/>
    </row>
    <row r="1490" spans="1:11" ht="43.2" x14ac:dyDescent="0.3">
      <c r="A1490" s="3" t="s">
        <v>3196</v>
      </c>
      <c r="B1490" s="3" t="str">
        <f>"025669110"</f>
        <v>025669110</v>
      </c>
      <c r="C1490" s="3" t="s">
        <v>2063</v>
      </c>
      <c r="D1490" s="3" t="s">
        <v>3197</v>
      </c>
      <c r="E1490" s="3" t="s">
        <v>1353</v>
      </c>
      <c r="F1490" s="2">
        <v>43965</v>
      </c>
      <c r="G1490" s="2"/>
      <c r="H1490" s="2388" t="s">
        <v>17</v>
      </c>
      <c r="I1490" s="2389" t="s">
        <v>18</v>
      </c>
      <c r="J1490" s="3" t="s">
        <v>19</v>
      </c>
      <c r="K1490" s="3"/>
    </row>
    <row r="1491" spans="1:11" ht="43.2" x14ac:dyDescent="0.3">
      <c r="A1491" s="3" t="s">
        <v>3198</v>
      </c>
      <c r="B1491" s="3" t="str">
        <f>"035618014"</f>
        <v>035618014</v>
      </c>
      <c r="C1491" s="3" t="s">
        <v>2063</v>
      </c>
      <c r="D1491" s="3" t="s">
        <v>3199</v>
      </c>
      <c r="E1491" s="3" t="s">
        <v>1353</v>
      </c>
      <c r="F1491" s="2">
        <v>43965</v>
      </c>
      <c r="G1491" s="2"/>
      <c r="H1491" s="2390" t="s">
        <v>17</v>
      </c>
      <c r="I1491" s="2391" t="s">
        <v>18</v>
      </c>
      <c r="J1491" s="3" t="s">
        <v>19</v>
      </c>
      <c r="K1491" s="3"/>
    </row>
    <row r="1492" spans="1:11" ht="43.2" x14ac:dyDescent="0.3">
      <c r="A1492" s="3" t="s">
        <v>3200</v>
      </c>
      <c r="B1492" s="3" t="str">
        <f>"025200039"</f>
        <v>025200039</v>
      </c>
      <c r="C1492" s="3" t="s">
        <v>2584</v>
      </c>
      <c r="D1492" s="3" t="s">
        <v>3201</v>
      </c>
      <c r="E1492" s="3" t="s">
        <v>543</v>
      </c>
      <c r="F1492" s="2">
        <v>44075</v>
      </c>
      <c r="G1492" s="2"/>
      <c r="H1492" s="2392" t="s">
        <v>17</v>
      </c>
      <c r="I1492" s="2393" t="s">
        <v>18</v>
      </c>
      <c r="J1492" s="3" t="s">
        <v>19</v>
      </c>
      <c r="K1492" s="3"/>
    </row>
    <row r="1493" spans="1:11" ht="43.2" x14ac:dyDescent="0.3">
      <c r="A1493" s="3" t="s">
        <v>3202</v>
      </c>
      <c r="B1493" s="3" t="str">
        <f>"041429034"</f>
        <v>041429034</v>
      </c>
      <c r="C1493" s="3" t="s">
        <v>2721</v>
      </c>
      <c r="D1493" s="3" t="s">
        <v>3203</v>
      </c>
      <c r="E1493" s="3" t="s">
        <v>463</v>
      </c>
      <c r="F1493" s="2">
        <v>43313</v>
      </c>
      <c r="G1493" s="2"/>
      <c r="H1493" s="2394" t="s">
        <v>17</v>
      </c>
      <c r="I1493" s="3" t="s">
        <v>41</v>
      </c>
      <c r="J1493" s="3" t="s">
        <v>19</v>
      </c>
      <c r="K1493" s="3"/>
    </row>
    <row r="1494" spans="1:11" ht="43.2" x14ac:dyDescent="0.3">
      <c r="A1494" s="3" t="s">
        <v>3204</v>
      </c>
      <c r="B1494" s="3" t="str">
        <f>"040974242"</f>
        <v>040974242</v>
      </c>
      <c r="C1494" s="3" t="s">
        <v>1653</v>
      </c>
      <c r="D1494" s="3" t="s">
        <v>3205</v>
      </c>
      <c r="E1494" s="3" t="s">
        <v>83</v>
      </c>
      <c r="F1494" s="2">
        <v>44063</v>
      </c>
      <c r="G1494" s="2"/>
      <c r="H1494" s="2395" t="s">
        <v>17</v>
      </c>
      <c r="I1494" s="3" t="s">
        <v>41</v>
      </c>
      <c r="J1494" s="3" t="s">
        <v>19</v>
      </c>
      <c r="K1494" s="3"/>
    </row>
    <row r="1495" spans="1:11" ht="43.2" x14ac:dyDescent="0.3">
      <c r="A1495" s="3" t="s">
        <v>3206</v>
      </c>
      <c r="B1495" s="3" t="str">
        <f>"040631020"</f>
        <v>040631020</v>
      </c>
      <c r="C1495" s="3" t="s">
        <v>1653</v>
      </c>
      <c r="D1495" s="3" t="s">
        <v>3207</v>
      </c>
      <c r="E1495" s="3" t="s">
        <v>64</v>
      </c>
      <c r="F1495" s="2">
        <v>43983</v>
      </c>
      <c r="G1495" s="2"/>
      <c r="H1495" s="2396" t="s">
        <v>17</v>
      </c>
      <c r="I1495" s="3" t="s">
        <v>41</v>
      </c>
      <c r="J1495" s="3" t="s">
        <v>19</v>
      </c>
      <c r="K1495" s="3"/>
    </row>
    <row r="1496" spans="1:11" ht="43.2" x14ac:dyDescent="0.3">
      <c r="A1496" s="3" t="s">
        <v>3208</v>
      </c>
      <c r="B1496" s="3" t="str">
        <f>"029611023"</f>
        <v>029611023</v>
      </c>
      <c r="C1496" s="3" t="s">
        <v>3209</v>
      </c>
      <c r="D1496" s="3" t="s">
        <v>3210</v>
      </c>
      <c r="E1496" s="3" t="s">
        <v>3211</v>
      </c>
      <c r="F1496" s="2">
        <v>43414</v>
      </c>
      <c r="G1496" s="2">
        <v>44561</v>
      </c>
      <c r="H1496" s="2397" t="s">
        <v>17</v>
      </c>
      <c r="I1496" s="3" t="s">
        <v>41</v>
      </c>
      <c r="J1496" s="3" t="s">
        <v>19</v>
      </c>
      <c r="K1496" s="3"/>
    </row>
    <row r="1497" spans="1:11" ht="43.2" x14ac:dyDescent="0.3">
      <c r="A1497" s="3" t="s">
        <v>3208</v>
      </c>
      <c r="B1497" s="3" t="str">
        <f>"029611035"</f>
        <v>029611035</v>
      </c>
      <c r="C1497" s="3" t="s">
        <v>3209</v>
      </c>
      <c r="D1497" s="3" t="s">
        <v>3212</v>
      </c>
      <c r="E1497" s="3" t="s">
        <v>3211</v>
      </c>
      <c r="F1497" s="2">
        <v>43414</v>
      </c>
      <c r="G1497" s="2">
        <v>44561</v>
      </c>
      <c r="H1497" s="2398" t="s">
        <v>17</v>
      </c>
      <c r="I1497" s="3" t="s">
        <v>41</v>
      </c>
      <c r="J1497" s="3" t="s">
        <v>19</v>
      </c>
      <c r="K1497" s="3"/>
    </row>
    <row r="1498" spans="1:11" ht="43.2" x14ac:dyDescent="0.3">
      <c r="A1498" s="3" t="s">
        <v>3208</v>
      </c>
      <c r="B1498" s="3" t="str">
        <f>"029611047"</f>
        <v>029611047</v>
      </c>
      <c r="C1498" s="3" t="s">
        <v>3209</v>
      </c>
      <c r="D1498" s="3" t="s">
        <v>3213</v>
      </c>
      <c r="E1498" s="3" t="s">
        <v>3211</v>
      </c>
      <c r="F1498" s="2">
        <v>43414</v>
      </c>
      <c r="G1498" s="2">
        <v>44561</v>
      </c>
      <c r="H1498" s="2399" t="s">
        <v>17</v>
      </c>
      <c r="I1498" s="3" t="s">
        <v>41</v>
      </c>
      <c r="J1498" s="3" t="s">
        <v>19</v>
      </c>
      <c r="K1498" s="3"/>
    </row>
    <row r="1499" spans="1:11" ht="43.2" x14ac:dyDescent="0.3">
      <c r="A1499" s="3" t="s">
        <v>3208</v>
      </c>
      <c r="B1499" s="3" t="str">
        <f>"029611050"</f>
        <v>029611050</v>
      </c>
      <c r="C1499" s="3" t="s">
        <v>3209</v>
      </c>
      <c r="D1499" s="3" t="s">
        <v>3214</v>
      </c>
      <c r="E1499" s="3" t="s">
        <v>3211</v>
      </c>
      <c r="F1499" s="2">
        <v>43414</v>
      </c>
      <c r="G1499" s="2">
        <v>44561</v>
      </c>
      <c r="H1499" s="2400" t="s">
        <v>17</v>
      </c>
      <c r="I1499" s="3" t="s">
        <v>41</v>
      </c>
      <c r="J1499" s="3" t="s">
        <v>19</v>
      </c>
      <c r="K1499" s="3"/>
    </row>
    <row r="1500" spans="1:11" ht="43.2" x14ac:dyDescent="0.3">
      <c r="A1500" s="3" t="s">
        <v>3208</v>
      </c>
      <c r="B1500" s="3" t="str">
        <f>"029611124"</f>
        <v>029611124</v>
      </c>
      <c r="C1500" s="3" t="s">
        <v>3209</v>
      </c>
      <c r="D1500" s="3" t="s">
        <v>3215</v>
      </c>
      <c r="E1500" s="3" t="s">
        <v>3211</v>
      </c>
      <c r="F1500" s="2">
        <v>43562</v>
      </c>
      <c r="G1500" s="2">
        <v>44561</v>
      </c>
      <c r="H1500" s="2401" t="s">
        <v>17</v>
      </c>
      <c r="I1500" s="3" t="s">
        <v>41</v>
      </c>
      <c r="J1500" s="3" t="s">
        <v>19</v>
      </c>
      <c r="K1500" s="3"/>
    </row>
    <row r="1501" spans="1:11" ht="43.2" x14ac:dyDescent="0.3">
      <c r="A1501" s="3" t="s">
        <v>3216</v>
      </c>
      <c r="B1501" s="3" t="str">
        <f>"026362057"</f>
        <v>026362057</v>
      </c>
      <c r="C1501" s="3" t="s">
        <v>3217</v>
      </c>
      <c r="D1501" s="3" t="s">
        <v>3218</v>
      </c>
      <c r="E1501" s="3" t="s">
        <v>3219</v>
      </c>
      <c r="F1501" s="2">
        <v>41010</v>
      </c>
      <c r="G1501" s="2"/>
      <c r="H1501" s="2402" t="s">
        <v>37</v>
      </c>
      <c r="I1501" s="2403" t="s">
        <v>32</v>
      </c>
      <c r="J1501" s="3" t="s">
        <v>19</v>
      </c>
      <c r="K1501" s="3"/>
    </row>
    <row r="1502" spans="1:11" ht="43.2" x14ac:dyDescent="0.3">
      <c r="A1502" s="3" t="s">
        <v>3216</v>
      </c>
      <c r="B1502" s="3" t="str">
        <f>"026362032"</f>
        <v>026362032</v>
      </c>
      <c r="C1502" s="3" t="s">
        <v>3217</v>
      </c>
      <c r="D1502" s="3" t="s">
        <v>3220</v>
      </c>
      <c r="E1502" s="3" t="s">
        <v>3219</v>
      </c>
      <c r="F1502" s="2">
        <v>43525</v>
      </c>
      <c r="G1502" s="2">
        <v>43921</v>
      </c>
      <c r="H1502" s="2404" t="s">
        <v>37</v>
      </c>
      <c r="I1502" s="2405" t="s">
        <v>32</v>
      </c>
      <c r="J1502" s="3" t="s">
        <v>19</v>
      </c>
      <c r="K1502" s="3"/>
    </row>
    <row r="1503" spans="1:11" ht="43.2" x14ac:dyDescent="0.3">
      <c r="A1503" s="3" t="s">
        <v>3221</v>
      </c>
      <c r="B1503" s="3" t="str">
        <f>"024953174"</f>
        <v>024953174</v>
      </c>
      <c r="C1503" s="3" t="s">
        <v>3222</v>
      </c>
      <c r="D1503" s="3" t="s">
        <v>3223</v>
      </c>
      <c r="E1503" s="3" t="s">
        <v>3224</v>
      </c>
      <c r="F1503" s="2">
        <v>40808</v>
      </c>
      <c r="G1503" s="2"/>
      <c r="H1503" s="2406" t="s">
        <v>17</v>
      </c>
      <c r="I1503" s="2407" t="s">
        <v>18</v>
      </c>
      <c r="J1503" s="3" t="s">
        <v>19</v>
      </c>
      <c r="K1503" s="3"/>
    </row>
    <row r="1504" spans="1:11" ht="100.8" x14ac:dyDescent="0.3">
      <c r="A1504" s="3" t="s">
        <v>3225</v>
      </c>
      <c r="B1504" s="3" t="str">
        <f>"029851262"</f>
        <v>029851262</v>
      </c>
      <c r="C1504" s="3" t="s">
        <v>3226</v>
      </c>
      <c r="D1504" s="3" t="s">
        <v>3227</v>
      </c>
      <c r="E1504" s="3" t="s">
        <v>3228</v>
      </c>
      <c r="F1504" s="2">
        <v>43936</v>
      </c>
      <c r="G1504" s="2">
        <v>44286</v>
      </c>
      <c r="H1504" s="2408" t="s">
        <v>17</v>
      </c>
      <c r="I1504" s="3" t="s">
        <v>41</v>
      </c>
      <c r="J1504" s="3" t="s">
        <v>19</v>
      </c>
      <c r="K1504" s="3"/>
    </row>
    <row r="1505" spans="1:11" ht="72" x14ac:dyDescent="0.3">
      <c r="A1505" s="3" t="s">
        <v>3229</v>
      </c>
      <c r="B1505" s="3" t="str">
        <f>"024165058"</f>
        <v>024165058</v>
      </c>
      <c r="C1505" s="3" t="s">
        <v>2846</v>
      </c>
      <c r="D1505" s="3" t="s">
        <v>3230</v>
      </c>
      <c r="E1505" s="3" t="s">
        <v>315</v>
      </c>
      <c r="F1505" s="2">
        <v>43678</v>
      </c>
      <c r="G1505" s="2"/>
      <c r="H1505" s="2409" t="s">
        <v>17</v>
      </c>
      <c r="I1505" s="3" t="s">
        <v>41</v>
      </c>
      <c r="J1505" s="3" t="s">
        <v>19</v>
      </c>
      <c r="K1505" s="3"/>
    </row>
    <row r="1506" spans="1:11" ht="43.2" x14ac:dyDescent="0.3">
      <c r="A1506" s="3" t="s">
        <v>3231</v>
      </c>
      <c r="B1506" s="3" t="str">
        <f>"024992024"</f>
        <v>024992024</v>
      </c>
      <c r="C1506" s="3" t="s">
        <v>2846</v>
      </c>
      <c r="D1506" s="3" t="s">
        <v>3232</v>
      </c>
      <c r="E1506" s="3" t="s">
        <v>3233</v>
      </c>
      <c r="F1506" s="2">
        <v>43187</v>
      </c>
      <c r="G1506" s="2"/>
      <c r="H1506" s="2410" t="s">
        <v>17</v>
      </c>
      <c r="I1506" s="2411" t="s">
        <v>32</v>
      </c>
      <c r="J1506" s="3" t="s">
        <v>19</v>
      </c>
      <c r="K1506" s="3"/>
    </row>
    <row r="1507" spans="1:11" ht="43.2" x14ac:dyDescent="0.3">
      <c r="A1507" s="3" t="s">
        <v>3234</v>
      </c>
      <c r="B1507" s="3" t="str">
        <f>"042712051"</f>
        <v>042712051</v>
      </c>
      <c r="C1507" s="3" t="s">
        <v>557</v>
      </c>
      <c r="D1507" s="3" t="s">
        <v>3235</v>
      </c>
      <c r="E1507" s="3" t="s">
        <v>3236</v>
      </c>
      <c r="F1507" s="2">
        <v>41850</v>
      </c>
      <c r="G1507" s="2"/>
      <c r="H1507" s="2412" t="s">
        <v>17</v>
      </c>
      <c r="I1507" s="2413" t="s">
        <v>32</v>
      </c>
      <c r="J1507" s="3" t="s">
        <v>19</v>
      </c>
      <c r="K1507" s="3"/>
    </row>
    <row r="1508" spans="1:11" ht="43.2" x14ac:dyDescent="0.3">
      <c r="A1508" s="3" t="s">
        <v>3234</v>
      </c>
      <c r="B1508" s="3" t="str">
        <f>"042712099"</f>
        <v>042712099</v>
      </c>
      <c r="C1508" s="3" t="s">
        <v>557</v>
      </c>
      <c r="D1508" s="3" t="s">
        <v>3237</v>
      </c>
      <c r="E1508" s="3" t="s">
        <v>3236</v>
      </c>
      <c r="F1508" s="2">
        <v>43293</v>
      </c>
      <c r="G1508" s="2"/>
      <c r="H1508" s="2414" t="s">
        <v>17</v>
      </c>
      <c r="I1508" s="2415" t="s">
        <v>32</v>
      </c>
      <c r="J1508" s="3" t="s">
        <v>19</v>
      </c>
      <c r="K1508" s="3"/>
    </row>
    <row r="1509" spans="1:11" ht="43.2" x14ac:dyDescent="0.3">
      <c r="A1509" s="3" t="s">
        <v>3238</v>
      </c>
      <c r="B1509" s="3" t="str">
        <f>"040574028"</f>
        <v>040574028</v>
      </c>
      <c r="C1509" s="3" t="s">
        <v>557</v>
      </c>
      <c r="D1509" s="3" t="s">
        <v>3239</v>
      </c>
      <c r="E1509" s="3" t="s">
        <v>3236</v>
      </c>
      <c r="F1509" s="2">
        <v>43012</v>
      </c>
      <c r="G1509" s="2"/>
      <c r="H1509" s="2416" t="s">
        <v>37</v>
      </c>
      <c r="I1509" s="3" t="s">
        <v>41</v>
      </c>
      <c r="J1509" s="3" t="s">
        <v>19</v>
      </c>
      <c r="K1509" s="3"/>
    </row>
    <row r="1510" spans="1:11" ht="43.2" x14ac:dyDescent="0.3">
      <c r="A1510" s="3" t="s">
        <v>3240</v>
      </c>
      <c r="B1510" s="3" t="str">
        <f>"028979019"</f>
        <v>028979019</v>
      </c>
      <c r="C1510" s="3" t="s">
        <v>3241</v>
      </c>
      <c r="D1510" s="3" t="s">
        <v>3242</v>
      </c>
      <c r="E1510" s="3" t="s">
        <v>604</v>
      </c>
      <c r="F1510" s="2">
        <v>43118</v>
      </c>
      <c r="G1510" s="2"/>
      <c r="H1510" s="2417" t="s">
        <v>17</v>
      </c>
      <c r="I1510" s="2418" t="s">
        <v>18</v>
      </c>
      <c r="J1510" s="3" t="s">
        <v>19</v>
      </c>
      <c r="K1510" s="3"/>
    </row>
    <row r="1511" spans="1:11" ht="43.2" x14ac:dyDescent="0.3">
      <c r="A1511" s="3" t="s">
        <v>3243</v>
      </c>
      <c r="B1511" s="3" t="str">
        <f>"044637015"</f>
        <v>044637015</v>
      </c>
      <c r="C1511" s="3" t="s">
        <v>3151</v>
      </c>
      <c r="D1511" s="3" t="s">
        <v>3244</v>
      </c>
      <c r="E1511" s="3" t="s">
        <v>161</v>
      </c>
      <c r="F1511" s="2">
        <v>43237</v>
      </c>
      <c r="G1511" s="2"/>
      <c r="H1511" s="2419" t="s">
        <v>17</v>
      </c>
      <c r="I1511" s="3" t="s">
        <v>41</v>
      </c>
      <c r="J1511" s="3" t="s">
        <v>19</v>
      </c>
      <c r="K1511" s="3"/>
    </row>
    <row r="1512" spans="1:11" ht="43.2" x14ac:dyDescent="0.3">
      <c r="A1512" s="3" t="s">
        <v>3245</v>
      </c>
      <c r="B1512" s="3" t="str">
        <f>"038808010"</f>
        <v>038808010</v>
      </c>
      <c r="C1512" s="3" t="s">
        <v>220</v>
      </c>
      <c r="D1512" s="3" t="s">
        <v>3246</v>
      </c>
      <c r="E1512" s="3" t="s">
        <v>56</v>
      </c>
      <c r="F1512" s="2">
        <v>41849</v>
      </c>
      <c r="G1512" s="2"/>
      <c r="H1512" s="2420" t="s">
        <v>17</v>
      </c>
      <c r="I1512" s="2421" t="s">
        <v>18</v>
      </c>
      <c r="J1512" s="3" t="s">
        <v>19</v>
      </c>
      <c r="K1512" s="3"/>
    </row>
    <row r="1513" spans="1:11" ht="43.2" x14ac:dyDescent="0.3">
      <c r="A1513" s="3" t="s">
        <v>3247</v>
      </c>
      <c r="B1513" s="3" t="str">
        <f>"034820023"</f>
        <v>034820023</v>
      </c>
      <c r="C1513" s="3" t="s">
        <v>2069</v>
      </c>
      <c r="D1513" s="3" t="s">
        <v>3248</v>
      </c>
      <c r="E1513" s="3" t="s">
        <v>1186</v>
      </c>
      <c r="F1513" s="2">
        <v>42303</v>
      </c>
      <c r="G1513" s="2"/>
      <c r="H1513" s="2422" t="s">
        <v>17</v>
      </c>
      <c r="I1513" s="3" t="s">
        <v>41</v>
      </c>
      <c r="J1513" s="3" t="s">
        <v>19</v>
      </c>
      <c r="K1513" s="3"/>
    </row>
    <row r="1514" spans="1:11" ht="43.2" x14ac:dyDescent="0.3">
      <c r="A1514" s="3" t="s">
        <v>3249</v>
      </c>
      <c r="B1514" s="3" t="str">
        <f>"024861015"</f>
        <v>024861015</v>
      </c>
      <c r="C1514" s="3" t="s">
        <v>2882</v>
      </c>
      <c r="D1514" s="3" t="s">
        <v>3250</v>
      </c>
      <c r="E1514" s="3" t="s">
        <v>3251</v>
      </c>
      <c r="F1514" s="2">
        <v>44107</v>
      </c>
      <c r="G1514" s="2"/>
      <c r="H1514" s="2423" t="s">
        <v>37</v>
      </c>
      <c r="I1514" s="3" t="s">
        <v>41</v>
      </c>
      <c r="J1514" s="3" t="s">
        <v>19</v>
      </c>
      <c r="K1514" s="3"/>
    </row>
    <row r="1515" spans="1:11" ht="43.2" x14ac:dyDescent="0.3">
      <c r="A1515" s="3" t="s">
        <v>3249</v>
      </c>
      <c r="B1515" s="3" t="str">
        <f>"024861039"</f>
        <v>024861039</v>
      </c>
      <c r="C1515" s="3" t="s">
        <v>2882</v>
      </c>
      <c r="D1515" s="3" t="s">
        <v>3252</v>
      </c>
      <c r="E1515" s="3" t="s">
        <v>3251</v>
      </c>
      <c r="F1515" s="2">
        <v>44145</v>
      </c>
      <c r="G1515" s="2"/>
      <c r="H1515" s="2424" t="s">
        <v>37</v>
      </c>
      <c r="I1515" s="3" t="s">
        <v>41</v>
      </c>
      <c r="J1515" s="3" t="s">
        <v>19</v>
      </c>
      <c r="K1515" s="3"/>
    </row>
    <row r="1516" spans="1:11" ht="43.2" x14ac:dyDescent="0.3">
      <c r="A1516" s="3" t="s">
        <v>3249</v>
      </c>
      <c r="B1516" s="3" t="str">
        <f>"024861041"</f>
        <v>024861041</v>
      </c>
      <c r="C1516" s="3" t="s">
        <v>2882</v>
      </c>
      <c r="D1516" s="3" t="s">
        <v>3253</v>
      </c>
      <c r="E1516" s="3" t="s">
        <v>3251</v>
      </c>
      <c r="F1516" s="2">
        <v>43861</v>
      </c>
      <c r="G1516" s="2"/>
      <c r="H1516" s="2425" t="s">
        <v>37</v>
      </c>
      <c r="I1516" s="3" t="s">
        <v>41</v>
      </c>
      <c r="J1516" s="3" t="s">
        <v>19</v>
      </c>
      <c r="K1516" s="3"/>
    </row>
    <row r="1517" spans="1:11" ht="43.2" x14ac:dyDescent="0.3">
      <c r="A1517" s="3" t="s">
        <v>3249</v>
      </c>
      <c r="B1517" s="3" t="str">
        <f>"024861066"</f>
        <v>024861066</v>
      </c>
      <c r="C1517" s="3" t="s">
        <v>2882</v>
      </c>
      <c r="D1517" s="3" t="s">
        <v>3254</v>
      </c>
      <c r="E1517" s="3" t="s">
        <v>3251</v>
      </c>
      <c r="F1517" s="2">
        <v>44098</v>
      </c>
      <c r="G1517" s="2"/>
      <c r="H1517" s="2426" t="s">
        <v>37</v>
      </c>
      <c r="I1517" s="3" t="s">
        <v>41</v>
      </c>
      <c r="J1517" s="3" t="s">
        <v>19</v>
      </c>
      <c r="K1517" s="3"/>
    </row>
    <row r="1518" spans="1:11" ht="43.2" x14ac:dyDescent="0.3">
      <c r="A1518" s="3" t="s">
        <v>3249</v>
      </c>
      <c r="B1518" s="3" t="str">
        <f>"024861078"</f>
        <v>024861078</v>
      </c>
      <c r="C1518" s="3" t="s">
        <v>2882</v>
      </c>
      <c r="D1518" s="3" t="s">
        <v>3255</v>
      </c>
      <c r="E1518" s="3" t="s">
        <v>3251</v>
      </c>
      <c r="F1518" s="2">
        <v>44136</v>
      </c>
      <c r="G1518" s="2"/>
      <c r="H1518" s="2427" t="s">
        <v>37</v>
      </c>
      <c r="I1518" s="3" t="s">
        <v>41</v>
      </c>
      <c r="J1518" s="3" t="s">
        <v>19</v>
      </c>
      <c r="K1518" s="3"/>
    </row>
    <row r="1519" spans="1:11" ht="43.2" x14ac:dyDescent="0.3">
      <c r="A1519" s="3" t="s">
        <v>3256</v>
      </c>
      <c r="B1519" s="3" t="str">
        <f>"029612025"</f>
        <v>029612025</v>
      </c>
      <c r="C1519" s="3" t="s">
        <v>3257</v>
      </c>
      <c r="D1519" s="3" t="s">
        <v>3258</v>
      </c>
      <c r="E1519" s="3" t="s">
        <v>3211</v>
      </c>
      <c r="F1519" s="2">
        <v>44043</v>
      </c>
      <c r="G1519" s="2"/>
      <c r="H1519" s="2428" t="s">
        <v>17</v>
      </c>
      <c r="I1519" s="2429" t="s">
        <v>18</v>
      </c>
      <c r="J1519" s="3" t="s">
        <v>19</v>
      </c>
      <c r="K1519" s="3"/>
    </row>
    <row r="1520" spans="1:11" ht="43.2" x14ac:dyDescent="0.3">
      <c r="A1520" s="3" t="s">
        <v>3259</v>
      </c>
      <c r="B1520" s="3" t="str">
        <f>"030068047"</f>
        <v>030068047</v>
      </c>
      <c r="C1520" s="3" t="s">
        <v>3257</v>
      </c>
      <c r="D1520" s="3" t="s">
        <v>3260</v>
      </c>
      <c r="E1520" s="3" t="s">
        <v>412</v>
      </c>
      <c r="F1520" s="2">
        <v>43472</v>
      </c>
      <c r="G1520" s="2"/>
      <c r="H1520" s="2430" t="s">
        <v>17</v>
      </c>
      <c r="I1520" s="2431" t="s">
        <v>18</v>
      </c>
      <c r="J1520" s="3" t="s">
        <v>19</v>
      </c>
      <c r="K1520" s="3"/>
    </row>
    <row r="1521" spans="1:11" ht="43.2" x14ac:dyDescent="0.3">
      <c r="A1521" s="3" t="s">
        <v>3261</v>
      </c>
      <c r="B1521" s="3" t="str">
        <f>"030678015"</f>
        <v>030678015</v>
      </c>
      <c r="C1521" s="3" t="s">
        <v>3257</v>
      </c>
      <c r="D1521" s="3" t="s">
        <v>3262</v>
      </c>
      <c r="E1521" s="3" t="s">
        <v>1802</v>
      </c>
      <c r="F1521" s="2">
        <v>43087</v>
      </c>
      <c r="G1521" s="2"/>
      <c r="H1521" s="2432" t="s">
        <v>17</v>
      </c>
      <c r="I1521" s="2433" t="s">
        <v>18</v>
      </c>
      <c r="J1521" s="3" t="s">
        <v>19</v>
      </c>
      <c r="K1521" s="3"/>
    </row>
    <row r="1522" spans="1:11" ht="57.6" x14ac:dyDescent="0.3">
      <c r="A1522" s="3" t="s">
        <v>3263</v>
      </c>
      <c r="B1522" s="3" t="str">
        <f>"038981015"</f>
        <v>038981015</v>
      </c>
      <c r="C1522" s="3" t="s">
        <v>3264</v>
      </c>
      <c r="D1522" s="3" t="s">
        <v>3265</v>
      </c>
      <c r="E1522" s="3" t="s">
        <v>3066</v>
      </c>
      <c r="F1522" s="2">
        <v>43430</v>
      </c>
      <c r="G1522" s="2">
        <v>44469</v>
      </c>
      <c r="H1522" s="2434" t="s">
        <v>37</v>
      </c>
      <c r="I1522" s="3" t="s">
        <v>41</v>
      </c>
      <c r="J1522" s="3" t="s">
        <v>240</v>
      </c>
      <c r="K1522" s="3"/>
    </row>
    <row r="1523" spans="1:11" ht="43.2" x14ac:dyDescent="0.3">
      <c r="A1523" s="3" t="s">
        <v>3266</v>
      </c>
      <c r="B1523" s="3" t="str">
        <f>"034792010"</f>
        <v>034792010</v>
      </c>
      <c r="C1523" s="3" t="s">
        <v>2838</v>
      </c>
      <c r="D1523" s="3" t="s">
        <v>3267</v>
      </c>
      <c r="E1523" s="3" t="s">
        <v>22</v>
      </c>
      <c r="F1523" s="2">
        <v>43753</v>
      </c>
      <c r="G1523" s="2">
        <v>44165</v>
      </c>
      <c r="H1523" s="2435" t="s">
        <v>17</v>
      </c>
      <c r="I1523" s="3" t="s">
        <v>41</v>
      </c>
      <c r="J1523" s="3" t="s">
        <v>19</v>
      </c>
      <c r="K1523" s="3"/>
    </row>
    <row r="1524" spans="1:11" ht="43.2" x14ac:dyDescent="0.3">
      <c r="A1524" s="3" t="s">
        <v>3268</v>
      </c>
      <c r="B1524" s="3" t="str">
        <f>"027170012"</f>
        <v>027170012</v>
      </c>
      <c r="C1524" s="3" t="s">
        <v>2838</v>
      </c>
      <c r="D1524" s="3" t="s">
        <v>3269</v>
      </c>
      <c r="E1524" s="3" t="s">
        <v>27</v>
      </c>
      <c r="F1524" s="2">
        <v>43940</v>
      </c>
      <c r="G1524" s="2"/>
      <c r="H1524" s="2436" t="s">
        <v>17</v>
      </c>
      <c r="I1524" s="2437" t="s">
        <v>18</v>
      </c>
      <c r="J1524" s="3" t="s">
        <v>19</v>
      </c>
      <c r="K1524" s="3"/>
    </row>
    <row r="1525" spans="1:11" ht="43.2" x14ac:dyDescent="0.3">
      <c r="A1525" s="3" t="s">
        <v>3270</v>
      </c>
      <c r="B1525" s="3" t="str">
        <f>"032248078"</f>
        <v>032248078</v>
      </c>
      <c r="C1525" s="3" t="s">
        <v>3271</v>
      </c>
      <c r="D1525" s="3" t="s">
        <v>3272</v>
      </c>
      <c r="E1525" s="3" t="s">
        <v>255</v>
      </c>
      <c r="F1525" s="2">
        <v>44124</v>
      </c>
      <c r="G1525" s="2">
        <v>44331</v>
      </c>
      <c r="H1525" s="2438" t="s">
        <v>17</v>
      </c>
      <c r="I1525" s="3" t="s">
        <v>41</v>
      </c>
      <c r="J1525" s="3" t="s">
        <v>19</v>
      </c>
      <c r="K1525" s="3"/>
    </row>
    <row r="1526" spans="1:11" ht="43.2" x14ac:dyDescent="0.3">
      <c r="A1526" s="3" t="s">
        <v>3270</v>
      </c>
      <c r="B1526" s="3" t="str">
        <f>"032248217"</f>
        <v>032248217</v>
      </c>
      <c r="C1526" s="3" t="s">
        <v>3271</v>
      </c>
      <c r="D1526" s="3" t="s">
        <v>3273</v>
      </c>
      <c r="E1526" s="3" t="s">
        <v>255</v>
      </c>
      <c r="F1526" s="2">
        <v>44211</v>
      </c>
      <c r="G1526" s="2">
        <v>44255</v>
      </c>
      <c r="H1526" s="2439" t="s">
        <v>17</v>
      </c>
      <c r="I1526" s="3" t="s">
        <v>41</v>
      </c>
      <c r="J1526" s="3" t="s">
        <v>19</v>
      </c>
      <c r="K1526" s="3"/>
    </row>
    <row r="1527" spans="1:11" ht="43.2" x14ac:dyDescent="0.3">
      <c r="A1527" s="3" t="s">
        <v>3274</v>
      </c>
      <c r="B1527" s="3" t="str">
        <f>"038275018"</f>
        <v>038275018</v>
      </c>
      <c r="C1527" s="3" t="s">
        <v>2643</v>
      </c>
      <c r="D1527" s="3" t="s">
        <v>3275</v>
      </c>
      <c r="E1527" s="3" t="s">
        <v>371</v>
      </c>
      <c r="F1527" s="2">
        <v>42027</v>
      </c>
      <c r="G1527" s="2"/>
      <c r="H1527" s="2440" t="s">
        <v>17</v>
      </c>
      <c r="I1527" s="2441" t="s">
        <v>18</v>
      </c>
      <c r="J1527" s="3" t="s">
        <v>19</v>
      </c>
      <c r="K1527" s="3"/>
    </row>
    <row r="1528" spans="1:11" ht="43.2" x14ac:dyDescent="0.3">
      <c r="A1528" s="3" t="s">
        <v>3276</v>
      </c>
      <c r="B1528" s="3" t="str">
        <f>"023189018"</f>
        <v>023189018</v>
      </c>
      <c r="C1528" s="3" t="s">
        <v>3277</v>
      </c>
      <c r="D1528" s="3" t="s">
        <v>3278</v>
      </c>
      <c r="E1528" s="3" t="s">
        <v>576</v>
      </c>
      <c r="F1528" s="2">
        <v>43887</v>
      </c>
      <c r="G1528" s="2">
        <v>44150</v>
      </c>
      <c r="H1528" s="2442" t="s">
        <v>17</v>
      </c>
      <c r="I1528" s="3" t="s">
        <v>41</v>
      </c>
      <c r="J1528" s="3" t="s">
        <v>19</v>
      </c>
      <c r="K1528" s="3"/>
    </row>
    <row r="1529" spans="1:11" ht="43.2" x14ac:dyDescent="0.3">
      <c r="A1529" s="3" t="s">
        <v>3276</v>
      </c>
      <c r="B1529" s="3" t="str">
        <f>"023189044"</f>
        <v>023189044</v>
      </c>
      <c r="C1529" s="3" t="s">
        <v>3277</v>
      </c>
      <c r="D1529" s="3" t="s">
        <v>3279</v>
      </c>
      <c r="E1529" s="3" t="s">
        <v>576</v>
      </c>
      <c r="F1529" s="2">
        <v>43887</v>
      </c>
      <c r="G1529" s="2">
        <v>44150</v>
      </c>
      <c r="H1529" s="2443" t="s">
        <v>17</v>
      </c>
      <c r="I1529" s="3" t="s">
        <v>41</v>
      </c>
      <c r="J1529" s="3" t="s">
        <v>19</v>
      </c>
      <c r="K1529" s="3"/>
    </row>
    <row r="1530" spans="1:11" ht="57.6" x14ac:dyDescent="0.3">
      <c r="A1530" s="3" t="s">
        <v>3280</v>
      </c>
      <c r="B1530" s="3" t="str">
        <f>"037051012"</f>
        <v>037051012</v>
      </c>
      <c r="C1530" s="3" t="s">
        <v>436</v>
      </c>
      <c r="D1530" s="3" t="s">
        <v>3281</v>
      </c>
      <c r="E1530" s="3" t="s">
        <v>151</v>
      </c>
      <c r="F1530" s="2">
        <v>41759</v>
      </c>
      <c r="G1530" s="2"/>
      <c r="H1530" s="2444" t="s">
        <v>17</v>
      </c>
      <c r="I1530" s="2445" t="s">
        <v>18</v>
      </c>
      <c r="J1530" s="3" t="s">
        <v>19</v>
      </c>
      <c r="K1530" s="3"/>
    </row>
    <row r="1531" spans="1:11" ht="43.2" x14ac:dyDescent="0.3">
      <c r="A1531" s="3" t="s">
        <v>3282</v>
      </c>
      <c r="B1531" s="3" t="str">
        <f>"045621024"</f>
        <v>045621024</v>
      </c>
      <c r="C1531" s="3"/>
      <c r="D1531" s="3" t="s">
        <v>3283</v>
      </c>
      <c r="E1531" s="3" t="s">
        <v>83</v>
      </c>
      <c r="F1531" s="2">
        <v>43970</v>
      </c>
      <c r="G1531" s="2"/>
      <c r="H1531" s="2446" t="s">
        <v>17</v>
      </c>
      <c r="I1531" s="3" t="s">
        <v>41</v>
      </c>
      <c r="J1531" s="3" t="s">
        <v>19</v>
      </c>
      <c r="K1531" s="3"/>
    </row>
    <row r="1532" spans="1:11" ht="57.6" x14ac:dyDescent="0.3">
      <c r="A1532" s="3" t="s">
        <v>3284</v>
      </c>
      <c r="B1532" s="3" t="str">
        <f>"045068018"</f>
        <v>045068018</v>
      </c>
      <c r="C1532" s="3"/>
      <c r="D1532" s="3" t="s">
        <v>3285</v>
      </c>
      <c r="E1532" s="3" t="s">
        <v>56</v>
      </c>
      <c r="F1532" s="2">
        <v>43320</v>
      </c>
      <c r="G1532" s="2"/>
      <c r="H1532" s="2447" t="s">
        <v>17</v>
      </c>
      <c r="I1532" s="2448" t="s">
        <v>18</v>
      </c>
      <c r="J1532" s="3" t="s">
        <v>19</v>
      </c>
      <c r="K1532" s="3"/>
    </row>
    <row r="1533" spans="1:11" ht="57.6" x14ac:dyDescent="0.3">
      <c r="A1533" s="3" t="s">
        <v>3284</v>
      </c>
      <c r="B1533" s="3" t="str">
        <f>"045068057"</f>
        <v>045068057</v>
      </c>
      <c r="C1533" s="3"/>
      <c r="D1533" s="3" t="s">
        <v>3286</v>
      </c>
      <c r="E1533" s="3" t="s">
        <v>56</v>
      </c>
      <c r="F1533" s="2">
        <v>43677</v>
      </c>
      <c r="G1533" s="2"/>
      <c r="H1533" s="2449" t="s">
        <v>17</v>
      </c>
      <c r="I1533" s="2450" t="s">
        <v>18</v>
      </c>
      <c r="J1533" s="3" t="s">
        <v>19</v>
      </c>
      <c r="K1533" s="3"/>
    </row>
    <row r="1534" spans="1:11" ht="43.2" x14ac:dyDescent="0.3">
      <c r="A1534" s="3" t="s">
        <v>3287</v>
      </c>
      <c r="B1534" s="3" t="str">
        <f>"039418013"</f>
        <v>039418013</v>
      </c>
      <c r="C1534" s="3" t="s">
        <v>3288</v>
      </c>
      <c r="D1534" s="3" t="s">
        <v>3289</v>
      </c>
      <c r="E1534" s="3" t="s">
        <v>263</v>
      </c>
      <c r="F1534" s="2">
        <v>44158</v>
      </c>
      <c r="G1534" s="2">
        <v>44256</v>
      </c>
      <c r="H1534" s="2451" t="s">
        <v>17</v>
      </c>
      <c r="I1534" s="3" t="s">
        <v>41</v>
      </c>
      <c r="J1534" s="3" t="s">
        <v>19</v>
      </c>
      <c r="K1534" s="3"/>
    </row>
    <row r="1535" spans="1:11" ht="43.2" x14ac:dyDescent="0.3">
      <c r="A1535" s="3" t="s">
        <v>3290</v>
      </c>
      <c r="B1535" s="3" t="str">
        <f>"038525059"</f>
        <v>038525059</v>
      </c>
      <c r="C1535" s="3" t="s">
        <v>3288</v>
      </c>
      <c r="D1535" s="3" t="s">
        <v>3291</v>
      </c>
      <c r="E1535" s="3" t="s">
        <v>64</v>
      </c>
      <c r="F1535" s="2">
        <v>44156</v>
      </c>
      <c r="G1535" s="2"/>
      <c r="H1535" s="2452" t="s">
        <v>17</v>
      </c>
      <c r="I1535" s="3" t="s">
        <v>41</v>
      </c>
      <c r="J1535" s="3" t="s">
        <v>19</v>
      </c>
      <c r="K1535" s="3"/>
    </row>
    <row r="1536" spans="1:11" ht="43.2" x14ac:dyDescent="0.3">
      <c r="A1536" s="3" t="s">
        <v>3292</v>
      </c>
      <c r="B1536" s="3" t="str">
        <f>"036357022"</f>
        <v>036357022</v>
      </c>
      <c r="C1536" s="3" t="s">
        <v>3293</v>
      </c>
      <c r="D1536" s="3" t="s">
        <v>3294</v>
      </c>
      <c r="E1536" s="3" t="s">
        <v>3295</v>
      </c>
      <c r="F1536" s="2">
        <v>43550</v>
      </c>
      <c r="G1536" s="2"/>
      <c r="H1536" s="2453" t="s">
        <v>17</v>
      </c>
      <c r="I1536" s="2454" t="s">
        <v>18</v>
      </c>
      <c r="J1536" s="3" t="s">
        <v>19</v>
      </c>
      <c r="K1536" s="3"/>
    </row>
    <row r="1537" spans="1:11" ht="43.2" x14ac:dyDescent="0.3">
      <c r="A1537" s="3" t="s">
        <v>3296</v>
      </c>
      <c r="B1537" s="3" t="str">
        <f>"022632044"</f>
        <v>022632044</v>
      </c>
      <c r="C1537" s="3" t="s">
        <v>3297</v>
      </c>
      <c r="D1537" s="3" t="s">
        <v>3298</v>
      </c>
      <c r="E1537" s="3" t="s">
        <v>425</v>
      </c>
      <c r="F1537" s="2">
        <v>43040</v>
      </c>
      <c r="G1537" s="2"/>
      <c r="H1537" s="2455" t="s">
        <v>17</v>
      </c>
      <c r="I1537" s="2456" t="s">
        <v>18</v>
      </c>
      <c r="J1537" s="3" t="s">
        <v>19</v>
      </c>
      <c r="K1537" s="3"/>
    </row>
    <row r="1538" spans="1:11" ht="43.2" x14ac:dyDescent="0.3">
      <c r="A1538" s="3" t="s">
        <v>3296</v>
      </c>
      <c r="B1538" s="3" t="str">
        <f>"022632107"</f>
        <v>022632107</v>
      </c>
      <c r="C1538" s="3" t="s">
        <v>3297</v>
      </c>
      <c r="D1538" s="3" t="s">
        <v>3299</v>
      </c>
      <c r="E1538" s="3" t="s">
        <v>425</v>
      </c>
      <c r="F1538" s="2">
        <v>43069</v>
      </c>
      <c r="G1538" s="2"/>
      <c r="H1538" s="2457" t="s">
        <v>17</v>
      </c>
      <c r="I1538" s="2458" t="s">
        <v>18</v>
      </c>
      <c r="J1538" s="3" t="s">
        <v>19</v>
      </c>
      <c r="K1538" s="3"/>
    </row>
    <row r="1539" spans="1:11" ht="57.6" x14ac:dyDescent="0.3">
      <c r="A1539" s="3" t="s">
        <v>3296</v>
      </c>
      <c r="B1539" s="3" t="str">
        <f>"022632119"</f>
        <v>022632119</v>
      </c>
      <c r="C1539" s="3" t="s">
        <v>3300</v>
      </c>
      <c r="D1539" s="3" t="s">
        <v>3301</v>
      </c>
      <c r="E1539" s="3" t="s">
        <v>425</v>
      </c>
      <c r="F1539" s="2">
        <v>43039</v>
      </c>
      <c r="G1539" s="2"/>
      <c r="H1539" s="2459" t="s">
        <v>17</v>
      </c>
      <c r="I1539" s="2460" t="s">
        <v>18</v>
      </c>
      <c r="J1539" s="3" t="s">
        <v>19</v>
      </c>
      <c r="K1539" s="3"/>
    </row>
    <row r="1540" spans="1:11" ht="43.2" x14ac:dyDescent="0.3">
      <c r="A1540" s="3" t="s">
        <v>3302</v>
      </c>
      <c r="B1540" s="3" t="str">
        <f>"004901043"</f>
        <v>004901043</v>
      </c>
      <c r="C1540" s="3" t="s">
        <v>3303</v>
      </c>
      <c r="D1540" s="3" t="s">
        <v>3304</v>
      </c>
      <c r="E1540" s="3" t="s">
        <v>425</v>
      </c>
      <c r="F1540" s="2">
        <v>43039</v>
      </c>
      <c r="G1540" s="2"/>
      <c r="H1540" s="2461" t="s">
        <v>17</v>
      </c>
      <c r="I1540" s="2462" t="s">
        <v>18</v>
      </c>
      <c r="J1540" s="3" t="s">
        <v>19</v>
      </c>
      <c r="K1540" s="3"/>
    </row>
    <row r="1541" spans="1:11" ht="43.2" x14ac:dyDescent="0.3">
      <c r="A1541" s="3" t="s">
        <v>3302</v>
      </c>
      <c r="B1541" s="3" t="str">
        <f>"004901056"</f>
        <v>004901056</v>
      </c>
      <c r="C1541" s="3" t="s">
        <v>3303</v>
      </c>
      <c r="D1541" s="3" t="s">
        <v>3305</v>
      </c>
      <c r="E1541" s="3" t="s">
        <v>425</v>
      </c>
      <c r="F1541" s="2">
        <v>43039</v>
      </c>
      <c r="G1541" s="2"/>
      <c r="H1541" s="2463" t="s">
        <v>17</v>
      </c>
      <c r="I1541" s="2464" t="s">
        <v>18</v>
      </c>
      <c r="J1541" s="3" t="s">
        <v>19</v>
      </c>
      <c r="K1541" s="3"/>
    </row>
    <row r="1542" spans="1:11" ht="43.2" x14ac:dyDescent="0.3">
      <c r="A1542" s="3" t="s">
        <v>3302</v>
      </c>
      <c r="B1542" s="3" t="str">
        <f>"004901068"</f>
        <v>004901068</v>
      </c>
      <c r="C1542" s="3" t="s">
        <v>3303</v>
      </c>
      <c r="D1542" s="3" t="s">
        <v>3306</v>
      </c>
      <c r="E1542" s="3" t="s">
        <v>425</v>
      </c>
      <c r="F1542" s="2">
        <v>43040</v>
      </c>
      <c r="G1542" s="2"/>
      <c r="H1542" s="2465" t="s">
        <v>17</v>
      </c>
      <c r="I1542" s="2466" t="s">
        <v>18</v>
      </c>
      <c r="J1542" s="3" t="s">
        <v>19</v>
      </c>
      <c r="K1542" s="3"/>
    </row>
    <row r="1543" spans="1:11" ht="43.2" x14ac:dyDescent="0.3">
      <c r="A1543" s="3" t="s">
        <v>3307</v>
      </c>
      <c r="B1543" s="3" t="str">
        <f>"041652013"</f>
        <v>041652013</v>
      </c>
      <c r="C1543" s="3" t="s">
        <v>2142</v>
      </c>
      <c r="D1543" s="3" t="s">
        <v>2143</v>
      </c>
      <c r="E1543" s="3" t="s">
        <v>425</v>
      </c>
      <c r="F1543" s="2">
        <v>44166</v>
      </c>
      <c r="G1543" s="2"/>
      <c r="H1543" s="2467" t="s">
        <v>17</v>
      </c>
      <c r="I1543" s="2468" t="s">
        <v>18</v>
      </c>
      <c r="J1543" s="3" t="s">
        <v>19</v>
      </c>
      <c r="K1543" s="3"/>
    </row>
    <row r="1544" spans="1:11" ht="43.2" x14ac:dyDescent="0.3">
      <c r="A1544" s="3" t="s">
        <v>3308</v>
      </c>
      <c r="B1544" s="3" t="str">
        <f>"040342014"</f>
        <v>040342014</v>
      </c>
      <c r="C1544" s="3" t="s">
        <v>3309</v>
      </c>
      <c r="D1544" s="3" t="s">
        <v>3310</v>
      </c>
      <c r="E1544" s="3" t="s">
        <v>425</v>
      </c>
      <c r="F1544" s="2">
        <v>44196</v>
      </c>
      <c r="G1544" s="2"/>
      <c r="H1544" s="2469" t="s">
        <v>17</v>
      </c>
      <c r="I1544" s="2470" t="s">
        <v>18</v>
      </c>
      <c r="J1544" s="3" t="s">
        <v>19</v>
      </c>
      <c r="K1544" s="3"/>
    </row>
    <row r="1545" spans="1:11" ht="43.2" x14ac:dyDescent="0.3">
      <c r="A1545" s="3" t="s">
        <v>3308</v>
      </c>
      <c r="B1545" s="3" t="str">
        <f>"040342026"</f>
        <v>040342026</v>
      </c>
      <c r="C1545" s="3" t="s">
        <v>3309</v>
      </c>
      <c r="D1545" s="3" t="s">
        <v>3311</v>
      </c>
      <c r="E1545" s="3" t="s">
        <v>425</v>
      </c>
      <c r="F1545" s="2">
        <v>42931</v>
      </c>
      <c r="G1545" s="2"/>
      <c r="H1545" s="2471" t="s">
        <v>17</v>
      </c>
      <c r="I1545" s="2472" t="s">
        <v>18</v>
      </c>
      <c r="J1545" s="3" t="s">
        <v>19</v>
      </c>
      <c r="K1545" s="3"/>
    </row>
    <row r="1546" spans="1:11" ht="43.2" x14ac:dyDescent="0.3">
      <c r="A1546" s="3" t="s">
        <v>3312</v>
      </c>
      <c r="B1546" s="3" t="str">
        <f>"021332059"</f>
        <v>021332059</v>
      </c>
      <c r="C1546" s="3" t="s">
        <v>3313</v>
      </c>
      <c r="D1546" s="3" t="s">
        <v>133</v>
      </c>
      <c r="E1546" s="3" t="s">
        <v>1123</v>
      </c>
      <c r="F1546" s="2">
        <v>43191</v>
      </c>
      <c r="G1546" s="2"/>
      <c r="H1546" s="2473" t="s">
        <v>37</v>
      </c>
      <c r="I1546" s="2474" t="s">
        <v>32</v>
      </c>
      <c r="J1546" s="3" t="s">
        <v>19</v>
      </c>
      <c r="K1546" s="3"/>
    </row>
    <row r="1547" spans="1:11" ht="43.2" x14ac:dyDescent="0.3">
      <c r="A1547" s="3" t="s">
        <v>3314</v>
      </c>
      <c r="B1547" s="3" t="str">
        <f>"032250021"</f>
        <v>032250021</v>
      </c>
      <c r="C1547" s="3" t="s">
        <v>763</v>
      </c>
      <c r="D1547" s="3" t="s">
        <v>3315</v>
      </c>
      <c r="E1547" s="3" t="s">
        <v>107</v>
      </c>
      <c r="F1547" s="2">
        <v>44128</v>
      </c>
      <c r="G1547" s="2"/>
      <c r="H1547" s="2475" t="s">
        <v>17</v>
      </c>
      <c r="I1547" s="2476" t="s">
        <v>18</v>
      </c>
      <c r="J1547" s="3" t="s">
        <v>19</v>
      </c>
      <c r="K1547" s="3"/>
    </row>
    <row r="1548" spans="1:11" ht="57.6" x14ac:dyDescent="0.3">
      <c r="A1548" s="3" t="s">
        <v>3316</v>
      </c>
      <c r="B1548" s="3" t="str">
        <f>"034430191"</f>
        <v>034430191</v>
      </c>
      <c r="C1548" s="3" t="s">
        <v>3317</v>
      </c>
      <c r="D1548" s="3" t="s">
        <v>3318</v>
      </c>
      <c r="E1548" s="3" t="s">
        <v>1784</v>
      </c>
      <c r="F1548" s="2">
        <v>43238</v>
      </c>
      <c r="G1548" s="2"/>
      <c r="H1548" s="2477" t="s">
        <v>37</v>
      </c>
      <c r="I1548" s="2478" t="s">
        <v>18</v>
      </c>
      <c r="J1548" s="3" t="s">
        <v>19</v>
      </c>
      <c r="K1548" s="3"/>
    </row>
    <row r="1549" spans="1:11" ht="43.2" x14ac:dyDescent="0.3">
      <c r="A1549" s="3" t="s">
        <v>3316</v>
      </c>
      <c r="B1549" s="3" t="str">
        <f>"034430292"</f>
        <v>034430292</v>
      </c>
      <c r="C1549" s="3" t="s">
        <v>3317</v>
      </c>
      <c r="D1549" s="3" t="s">
        <v>3319</v>
      </c>
      <c r="E1549" s="3" t="s">
        <v>1784</v>
      </c>
      <c r="F1549" s="2">
        <v>43381</v>
      </c>
      <c r="G1549" s="2"/>
      <c r="H1549" s="2479" t="s">
        <v>37</v>
      </c>
      <c r="I1549" s="2480" t="s">
        <v>18</v>
      </c>
      <c r="J1549" s="3" t="s">
        <v>19</v>
      </c>
      <c r="K1549" s="3"/>
    </row>
    <row r="1550" spans="1:11" ht="43.2" x14ac:dyDescent="0.3">
      <c r="A1550" s="3" t="s">
        <v>3316</v>
      </c>
      <c r="B1550" s="3" t="str">
        <f>"034430316"</f>
        <v>034430316</v>
      </c>
      <c r="C1550" s="3" t="s">
        <v>3317</v>
      </c>
      <c r="D1550" s="3" t="s">
        <v>3320</v>
      </c>
      <c r="E1550" s="3" t="s">
        <v>1784</v>
      </c>
      <c r="F1550" s="2">
        <v>43356</v>
      </c>
      <c r="G1550" s="2"/>
      <c r="H1550" s="2481" t="s">
        <v>37</v>
      </c>
      <c r="I1550" s="2482" t="s">
        <v>18</v>
      </c>
      <c r="J1550" s="3" t="s">
        <v>19</v>
      </c>
      <c r="K1550" s="3"/>
    </row>
    <row r="1551" spans="1:11" ht="43.2" x14ac:dyDescent="0.3">
      <c r="A1551" s="3" t="s">
        <v>3316</v>
      </c>
      <c r="B1551" s="3" t="str">
        <f>"034430330"</f>
        <v>034430330</v>
      </c>
      <c r="C1551" s="3" t="s">
        <v>3317</v>
      </c>
      <c r="D1551" s="3" t="s">
        <v>3321</v>
      </c>
      <c r="E1551" s="3" t="s">
        <v>1784</v>
      </c>
      <c r="F1551" s="2">
        <v>43356</v>
      </c>
      <c r="G1551" s="2"/>
      <c r="H1551" s="2483" t="s">
        <v>37</v>
      </c>
      <c r="I1551" s="2484" t="s">
        <v>18</v>
      </c>
      <c r="J1551" s="3" t="s">
        <v>19</v>
      </c>
      <c r="K1551" s="3"/>
    </row>
    <row r="1552" spans="1:11" ht="57.6" x14ac:dyDescent="0.3">
      <c r="A1552" s="3" t="s">
        <v>3316</v>
      </c>
      <c r="B1552" s="3" t="str">
        <f>"034430417"</f>
        <v>034430417</v>
      </c>
      <c r="C1552" s="3" t="s">
        <v>3317</v>
      </c>
      <c r="D1552" s="3" t="s">
        <v>3322</v>
      </c>
      <c r="E1552" s="3" t="s">
        <v>1784</v>
      </c>
      <c r="F1552" s="2">
        <v>43381</v>
      </c>
      <c r="G1552" s="2"/>
      <c r="H1552" s="2485" t="s">
        <v>37</v>
      </c>
      <c r="I1552" s="2486" t="s">
        <v>18</v>
      </c>
      <c r="J1552" s="3" t="s">
        <v>19</v>
      </c>
      <c r="K1552" s="3"/>
    </row>
    <row r="1553" spans="1:11" ht="57.6" x14ac:dyDescent="0.3">
      <c r="A1553" s="3" t="s">
        <v>3316</v>
      </c>
      <c r="B1553" s="3" t="str">
        <f>"034430431"</f>
        <v>034430431</v>
      </c>
      <c r="C1553" s="3" t="s">
        <v>3317</v>
      </c>
      <c r="D1553" s="3" t="s">
        <v>3323</v>
      </c>
      <c r="E1553" s="3" t="s">
        <v>1784</v>
      </c>
      <c r="F1553" s="2">
        <v>43403</v>
      </c>
      <c r="G1553" s="2"/>
      <c r="H1553" s="2487" t="s">
        <v>37</v>
      </c>
      <c r="I1553" s="2488" t="s">
        <v>18</v>
      </c>
      <c r="J1553" s="3" t="s">
        <v>19</v>
      </c>
      <c r="K1553" s="3"/>
    </row>
    <row r="1554" spans="1:11" ht="43.2" x14ac:dyDescent="0.3">
      <c r="A1554" s="3" t="s">
        <v>3324</v>
      </c>
      <c r="B1554" s="3" t="str">
        <f>"028620019"</f>
        <v>028620019</v>
      </c>
      <c r="C1554" s="3" t="s">
        <v>3325</v>
      </c>
      <c r="D1554" s="3" t="s">
        <v>3326</v>
      </c>
      <c r="E1554" s="3" t="s">
        <v>412</v>
      </c>
      <c r="F1554" s="2">
        <v>42998</v>
      </c>
      <c r="G1554" s="2"/>
      <c r="H1554" s="2489" t="s">
        <v>37</v>
      </c>
      <c r="I1554" s="3" t="s">
        <v>41</v>
      </c>
      <c r="J1554" s="3" t="s">
        <v>19</v>
      </c>
      <c r="K1554" s="3"/>
    </row>
    <row r="1555" spans="1:11" ht="43.2" x14ac:dyDescent="0.3">
      <c r="A1555" s="3" t="s">
        <v>3324</v>
      </c>
      <c r="B1555" s="3" t="str">
        <f>"028620021"</f>
        <v>028620021</v>
      </c>
      <c r="C1555" s="3" t="s">
        <v>3325</v>
      </c>
      <c r="D1555" s="3" t="s">
        <v>3327</v>
      </c>
      <c r="E1555" s="3" t="s">
        <v>412</v>
      </c>
      <c r="F1555" s="2">
        <v>42880</v>
      </c>
      <c r="G1555" s="2"/>
      <c r="H1555" s="2490" t="s">
        <v>37</v>
      </c>
      <c r="I1555" s="3" t="s">
        <v>41</v>
      </c>
      <c r="J1555" s="3" t="s">
        <v>19</v>
      </c>
      <c r="K1555" s="3"/>
    </row>
    <row r="1556" spans="1:11" ht="43.2" x14ac:dyDescent="0.3">
      <c r="A1556" s="3" t="s">
        <v>3328</v>
      </c>
      <c r="B1556" s="3" t="str">
        <f>"023722135"</f>
        <v>023722135</v>
      </c>
      <c r="C1556" s="3" t="s">
        <v>3329</v>
      </c>
      <c r="D1556" s="3" t="s">
        <v>3330</v>
      </c>
      <c r="E1556" s="3" t="s">
        <v>1558</v>
      </c>
      <c r="F1556" s="2">
        <v>44236</v>
      </c>
      <c r="G1556" s="2"/>
      <c r="H1556" s="2491" t="s">
        <v>17</v>
      </c>
      <c r="I1556" s="2492" t="s">
        <v>18</v>
      </c>
      <c r="J1556" s="3" t="s">
        <v>19</v>
      </c>
      <c r="K1556" s="3"/>
    </row>
    <row r="1557" spans="1:11" ht="43.2" x14ac:dyDescent="0.3">
      <c r="A1557" s="3" t="s">
        <v>3331</v>
      </c>
      <c r="B1557" s="3" t="str">
        <f>"037152016"</f>
        <v>037152016</v>
      </c>
      <c r="C1557" s="3" t="s">
        <v>3332</v>
      </c>
      <c r="D1557" s="3" t="s">
        <v>3333</v>
      </c>
      <c r="E1557" s="3" t="s">
        <v>2629</v>
      </c>
      <c r="F1557" s="2">
        <v>43413</v>
      </c>
      <c r="G1557" s="2"/>
      <c r="H1557" s="2493" t="s">
        <v>17</v>
      </c>
      <c r="I1557" s="2494" t="s">
        <v>18</v>
      </c>
      <c r="J1557" s="3" t="s">
        <v>19</v>
      </c>
      <c r="K1557" s="3"/>
    </row>
    <row r="1558" spans="1:11" ht="43.2" x14ac:dyDescent="0.3">
      <c r="A1558" s="3" t="s">
        <v>3331</v>
      </c>
      <c r="B1558" s="3" t="str">
        <f>"037152042"</f>
        <v>037152042</v>
      </c>
      <c r="C1558" s="3" t="s">
        <v>3332</v>
      </c>
      <c r="D1558" s="3" t="s">
        <v>3334</v>
      </c>
      <c r="E1558" s="3" t="s">
        <v>2629</v>
      </c>
      <c r="F1558" s="2">
        <v>43399</v>
      </c>
      <c r="G1558" s="2"/>
      <c r="H1558" s="2495" t="s">
        <v>17</v>
      </c>
      <c r="I1558" s="2496" t="s">
        <v>18</v>
      </c>
      <c r="J1558" s="3" t="s">
        <v>19</v>
      </c>
      <c r="K1558" s="3"/>
    </row>
    <row r="1559" spans="1:11" ht="43.2" x14ac:dyDescent="0.3">
      <c r="A1559" s="3" t="s">
        <v>3331</v>
      </c>
      <c r="B1559" s="3" t="str">
        <f>"037152079"</f>
        <v>037152079</v>
      </c>
      <c r="C1559" s="3" t="s">
        <v>3332</v>
      </c>
      <c r="D1559" s="3" t="s">
        <v>3335</v>
      </c>
      <c r="E1559" s="3" t="s">
        <v>2629</v>
      </c>
      <c r="F1559" s="2">
        <v>43392</v>
      </c>
      <c r="G1559" s="2"/>
      <c r="H1559" s="2497" t="s">
        <v>17</v>
      </c>
      <c r="I1559" s="2498" t="s">
        <v>18</v>
      </c>
      <c r="J1559" s="3" t="s">
        <v>19</v>
      </c>
      <c r="K1559" s="3"/>
    </row>
    <row r="1560" spans="1:11" ht="43.2" x14ac:dyDescent="0.3">
      <c r="A1560" s="3" t="s">
        <v>3331</v>
      </c>
      <c r="B1560" s="3" t="str">
        <f>"037152105"</f>
        <v>037152105</v>
      </c>
      <c r="C1560" s="3" t="s">
        <v>3332</v>
      </c>
      <c r="D1560" s="3" t="s">
        <v>3336</v>
      </c>
      <c r="E1560" s="3" t="s">
        <v>2629</v>
      </c>
      <c r="F1560" s="2">
        <v>43378</v>
      </c>
      <c r="G1560" s="2"/>
      <c r="H1560" s="2499" t="s">
        <v>17</v>
      </c>
      <c r="I1560" s="2500" t="s">
        <v>18</v>
      </c>
      <c r="J1560" s="3" t="s">
        <v>19</v>
      </c>
      <c r="K1560" s="3"/>
    </row>
    <row r="1561" spans="1:11" ht="57.6" x14ac:dyDescent="0.3">
      <c r="A1561" s="3" t="s">
        <v>3337</v>
      </c>
      <c r="B1561" s="3" t="str">
        <f>"006483022"</f>
        <v>006483022</v>
      </c>
      <c r="C1561" s="3" t="s">
        <v>3338</v>
      </c>
      <c r="D1561" s="3" t="s">
        <v>3339</v>
      </c>
      <c r="E1561" s="3" t="s">
        <v>161</v>
      </c>
      <c r="F1561" s="2">
        <v>42886</v>
      </c>
      <c r="G1561" s="2"/>
      <c r="H1561" s="2501" t="s">
        <v>37</v>
      </c>
      <c r="I1561" s="2502" t="s">
        <v>18</v>
      </c>
      <c r="J1561" s="3" t="s">
        <v>19</v>
      </c>
      <c r="K1561" s="3"/>
    </row>
    <row r="1562" spans="1:11" ht="57.6" x14ac:dyDescent="0.3">
      <c r="A1562" s="3" t="s">
        <v>3340</v>
      </c>
      <c r="B1562" s="3" t="str">
        <f>"025369063"</f>
        <v>025369063</v>
      </c>
      <c r="C1562" s="3" t="s">
        <v>3341</v>
      </c>
      <c r="D1562" s="3" t="s">
        <v>3342</v>
      </c>
      <c r="E1562" s="3" t="s">
        <v>425</v>
      </c>
      <c r="F1562" s="2">
        <v>43221</v>
      </c>
      <c r="G1562" s="2"/>
      <c r="H1562" s="2503" t="s">
        <v>17</v>
      </c>
      <c r="I1562" s="2504" t="s">
        <v>18</v>
      </c>
      <c r="J1562" s="3" t="s">
        <v>19</v>
      </c>
      <c r="K1562" s="3"/>
    </row>
    <row r="1563" spans="1:11" ht="57.6" x14ac:dyDescent="0.3">
      <c r="A1563" s="3" t="s">
        <v>3343</v>
      </c>
      <c r="B1563" s="3" t="str">
        <f>"036395022"</f>
        <v>036395022</v>
      </c>
      <c r="C1563" s="3" t="s">
        <v>149</v>
      </c>
      <c r="D1563" s="3" t="s">
        <v>3344</v>
      </c>
      <c r="E1563" s="3" t="s">
        <v>22</v>
      </c>
      <c r="F1563" s="2">
        <v>43900</v>
      </c>
      <c r="G1563" s="2">
        <v>44226</v>
      </c>
      <c r="H1563" s="2505" t="s">
        <v>17</v>
      </c>
      <c r="I1563" s="3" t="s">
        <v>41</v>
      </c>
      <c r="J1563" s="3" t="s">
        <v>156</v>
      </c>
      <c r="K1563" s="3"/>
    </row>
    <row r="1564" spans="1:11" ht="57.6" x14ac:dyDescent="0.3">
      <c r="A1564" s="3" t="s">
        <v>3345</v>
      </c>
      <c r="B1564" s="3" t="str">
        <f>"033718053"</f>
        <v>033718053</v>
      </c>
      <c r="C1564" s="3" t="s">
        <v>149</v>
      </c>
      <c r="D1564" s="3" t="s">
        <v>3346</v>
      </c>
      <c r="E1564" s="3" t="s">
        <v>56</v>
      </c>
      <c r="F1564" s="2">
        <v>44226</v>
      </c>
      <c r="G1564" s="2">
        <v>44561</v>
      </c>
      <c r="H1564" s="2506" t="s">
        <v>37</v>
      </c>
      <c r="I1564" s="3" t="s">
        <v>41</v>
      </c>
      <c r="J1564" s="3" t="s">
        <v>156</v>
      </c>
      <c r="K1564" s="3"/>
    </row>
    <row r="1565" spans="1:11" ht="43.2" x14ac:dyDescent="0.3">
      <c r="A1565" s="3" t="s">
        <v>3347</v>
      </c>
      <c r="B1565" s="3" t="str">
        <f>"020513026"</f>
        <v>020513026</v>
      </c>
      <c r="C1565" s="3" t="s">
        <v>3348</v>
      </c>
      <c r="D1565" s="3" t="s">
        <v>3349</v>
      </c>
      <c r="E1565" s="3" t="s">
        <v>31</v>
      </c>
      <c r="F1565" s="2">
        <v>42491</v>
      </c>
      <c r="G1565" s="2"/>
      <c r="H1565" s="2507" t="s">
        <v>17</v>
      </c>
      <c r="I1565" s="3" t="s">
        <v>41</v>
      </c>
      <c r="J1565" s="3" t="s">
        <v>19</v>
      </c>
      <c r="K1565" s="3"/>
    </row>
    <row r="1566" spans="1:11" ht="57.6" x14ac:dyDescent="0.3">
      <c r="A1566" s="3" t="s">
        <v>3350</v>
      </c>
      <c r="B1566" s="3" t="str">
        <f>"031975016"</f>
        <v>031975016</v>
      </c>
      <c r="C1566" s="3" t="s">
        <v>1167</v>
      </c>
      <c r="D1566" s="3" t="s">
        <v>3351</v>
      </c>
      <c r="E1566" s="3" t="s">
        <v>255</v>
      </c>
      <c r="F1566" s="2">
        <v>44130</v>
      </c>
      <c r="G1566" s="2">
        <v>44148</v>
      </c>
      <c r="H1566" s="2508" t="s">
        <v>17</v>
      </c>
      <c r="I1566" s="3" t="s">
        <v>3352</v>
      </c>
      <c r="J1566" s="3" t="s">
        <v>156</v>
      </c>
      <c r="K1566" s="3"/>
    </row>
    <row r="1567" spans="1:11" ht="57.6" x14ac:dyDescent="0.3">
      <c r="A1567" s="3" t="s">
        <v>3350</v>
      </c>
      <c r="B1567" s="3" t="str">
        <f>"031975028"</f>
        <v>031975028</v>
      </c>
      <c r="C1567" s="3" t="s">
        <v>1167</v>
      </c>
      <c r="D1567" s="3" t="s">
        <v>3353</v>
      </c>
      <c r="E1567" s="3" t="s">
        <v>255</v>
      </c>
      <c r="F1567" s="2">
        <v>44130</v>
      </c>
      <c r="G1567" s="2">
        <v>44148</v>
      </c>
      <c r="H1567" s="2509" t="s">
        <v>17</v>
      </c>
      <c r="I1567" s="3" t="s">
        <v>178</v>
      </c>
      <c r="J1567" s="3" t="s">
        <v>156</v>
      </c>
      <c r="K1567" s="3"/>
    </row>
    <row r="1568" spans="1:11" ht="57.6" x14ac:dyDescent="0.3">
      <c r="A1568" s="3" t="s">
        <v>3350</v>
      </c>
      <c r="B1568" s="3" t="str">
        <f>"031975030"</f>
        <v>031975030</v>
      </c>
      <c r="C1568" s="3" t="s">
        <v>1167</v>
      </c>
      <c r="D1568" s="3" t="s">
        <v>3354</v>
      </c>
      <c r="E1568" s="3" t="s">
        <v>255</v>
      </c>
      <c r="F1568" s="2">
        <v>44120</v>
      </c>
      <c r="G1568" s="2">
        <v>44225</v>
      </c>
      <c r="H1568" s="2510" t="s">
        <v>17</v>
      </c>
      <c r="I1568" s="3" t="s">
        <v>178</v>
      </c>
      <c r="J1568" s="3" t="s">
        <v>156</v>
      </c>
      <c r="K1568" s="3"/>
    </row>
    <row r="1569" spans="1:11" ht="57.6" x14ac:dyDescent="0.3">
      <c r="A1569" s="3" t="s">
        <v>3350</v>
      </c>
      <c r="B1569" s="3" t="str">
        <f>"031975055"</f>
        <v>031975055</v>
      </c>
      <c r="C1569" s="3" t="s">
        <v>1167</v>
      </c>
      <c r="D1569" s="3" t="s">
        <v>3355</v>
      </c>
      <c r="E1569" s="3" t="s">
        <v>255</v>
      </c>
      <c r="F1569" s="2">
        <v>44130</v>
      </c>
      <c r="G1569" s="2">
        <v>44225</v>
      </c>
      <c r="H1569" s="2511" t="s">
        <v>17</v>
      </c>
      <c r="I1569" s="3" t="s">
        <v>3352</v>
      </c>
      <c r="J1569" s="3" t="s">
        <v>156</v>
      </c>
      <c r="K1569" s="3"/>
    </row>
    <row r="1570" spans="1:11" ht="43.2" x14ac:dyDescent="0.3">
      <c r="A1570" s="3" t="s">
        <v>3356</v>
      </c>
      <c r="B1570" s="3" t="str">
        <f>"034200016"</f>
        <v>034200016</v>
      </c>
      <c r="C1570" s="3" t="s">
        <v>3357</v>
      </c>
      <c r="D1570" s="3" t="s">
        <v>3358</v>
      </c>
      <c r="E1570" s="3" t="s">
        <v>74</v>
      </c>
      <c r="F1570" s="2">
        <v>41730</v>
      </c>
      <c r="G1570" s="2"/>
      <c r="H1570" s="2512" t="s">
        <v>17</v>
      </c>
      <c r="I1570" s="2513" t="s">
        <v>32</v>
      </c>
      <c r="J1570" s="3" t="s">
        <v>19</v>
      </c>
      <c r="K1570" s="3"/>
    </row>
    <row r="1571" spans="1:11" ht="43.2" x14ac:dyDescent="0.3">
      <c r="A1571" s="3" t="s">
        <v>3359</v>
      </c>
      <c r="B1571" s="3" t="str">
        <f>"032923017"</f>
        <v>032923017</v>
      </c>
      <c r="C1571" s="3" t="s">
        <v>3357</v>
      </c>
      <c r="D1571" s="3" t="s">
        <v>3360</v>
      </c>
      <c r="E1571" s="3" t="s">
        <v>1353</v>
      </c>
      <c r="F1571" s="2">
        <v>44043</v>
      </c>
      <c r="G1571" s="2"/>
      <c r="H1571" s="2514" t="s">
        <v>17</v>
      </c>
      <c r="I1571" s="2515" t="s">
        <v>18</v>
      </c>
      <c r="J1571" s="3" t="s">
        <v>19</v>
      </c>
      <c r="K1571" s="3"/>
    </row>
    <row r="1572" spans="1:11" ht="43.2" x14ac:dyDescent="0.3">
      <c r="A1572" s="3" t="s">
        <v>3361</v>
      </c>
      <c r="B1572" s="3" t="str">
        <f>"033673017"</f>
        <v>033673017</v>
      </c>
      <c r="C1572" s="3" t="s">
        <v>3357</v>
      </c>
      <c r="D1572" s="3" t="s">
        <v>3358</v>
      </c>
      <c r="E1572" s="3" t="s">
        <v>103</v>
      </c>
      <c r="F1572" s="2">
        <v>42005</v>
      </c>
      <c r="G1572" s="2"/>
      <c r="H1572" s="2516" t="s">
        <v>17</v>
      </c>
      <c r="I1572" s="2517" t="s">
        <v>18</v>
      </c>
      <c r="J1572" s="3" t="s">
        <v>19</v>
      </c>
      <c r="K1572" s="3"/>
    </row>
    <row r="1573" spans="1:11" ht="43.2" x14ac:dyDescent="0.3">
      <c r="A1573" s="3" t="s">
        <v>3362</v>
      </c>
      <c r="B1573" s="3" t="str">
        <f>"033702022"</f>
        <v>033702022</v>
      </c>
      <c r="C1573" s="3" t="s">
        <v>3357</v>
      </c>
      <c r="D1573" s="3" t="s">
        <v>3363</v>
      </c>
      <c r="E1573" s="3" t="s">
        <v>64</v>
      </c>
      <c r="F1573" s="2">
        <v>43777</v>
      </c>
      <c r="G1573" s="2"/>
      <c r="H1573" s="2518" t="s">
        <v>17</v>
      </c>
      <c r="I1573" s="2519" t="s">
        <v>18</v>
      </c>
      <c r="J1573" s="3" t="s">
        <v>19</v>
      </c>
      <c r="K1573" s="3"/>
    </row>
    <row r="1574" spans="1:11" ht="43.2" x14ac:dyDescent="0.3">
      <c r="A1574" s="3" t="s">
        <v>3364</v>
      </c>
      <c r="B1574" s="3" t="str">
        <f>"038167019"</f>
        <v>038167019</v>
      </c>
      <c r="C1574" s="3" t="s">
        <v>3365</v>
      </c>
      <c r="D1574" s="3" t="s">
        <v>3366</v>
      </c>
      <c r="E1574" s="3" t="s">
        <v>56</v>
      </c>
      <c r="F1574" s="2">
        <v>43487</v>
      </c>
      <c r="G1574" s="2"/>
      <c r="H1574" s="2520" t="s">
        <v>17</v>
      </c>
      <c r="I1574" s="2521" t="s">
        <v>18</v>
      </c>
      <c r="J1574" s="3" t="s">
        <v>19</v>
      </c>
      <c r="K1574" s="3"/>
    </row>
    <row r="1575" spans="1:11" ht="43.2" x14ac:dyDescent="0.3">
      <c r="A1575" s="3" t="s">
        <v>3367</v>
      </c>
      <c r="B1575" s="3" t="str">
        <f>"037513013"</f>
        <v>037513013</v>
      </c>
      <c r="C1575" s="3" t="s">
        <v>3365</v>
      </c>
      <c r="D1575" s="3" t="s">
        <v>3368</v>
      </c>
      <c r="E1575" s="3" t="s">
        <v>263</v>
      </c>
      <c r="F1575" s="2">
        <v>44130</v>
      </c>
      <c r="G1575" s="2">
        <v>44196</v>
      </c>
      <c r="H1575" s="2522" t="s">
        <v>17</v>
      </c>
      <c r="I1575" s="3" t="s">
        <v>41</v>
      </c>
      <c r="J1575" s="3" t="s">
        <v>19</v>
      </c>
      <c r="K1575" s="3"/>
    </row>
    <row r="1576" spans="1:11" ht="43.2" x14ac:dyDescent="0.3">
      <c r="A1576" s="3" t="s">
        <v>3369</v>
      </c>
      <c r="B1576" s="3" t="str">
        <f>"038020018"</f>
        <v>038020018</v>
      </c>
      <c r="C1576" s="3" t="s">
        <v>3365</v>
      </c>
      <c r="D1576" s="3" t="s">
        <v>3370</v>
      </c>
      <c r="E1576" s="3" t="s">
        <v>107</v>
      </c>
      <c r="F1576" s="2">
        <v>44128</v>
      </c>
      <c r="G1576" s="2"/>
      <c r="H1576" s="2523" t="s">
        <v>17</v>
      </c>
      <c r="I1576" s="2524" t="s">
        <v>18</v>
      </c>
      <c r="J1576" s="3" t="s">
        <v>19</v>
      </c>
      <c r="K1576" s="3"/>
    </row>
    <row r="1577" spans="1:11" ht="43.2" x14ac:dyDescent="0.3">
      <c r="A1577" s="3" t="s">
        <v>3371</v>
      </c>
      <c r="B1577" s="3" t="str">
        <f>"034867046"</f>
        <v>034867046</v>
      </c>
      <c r="C1577" s="3" t="s">
        <v>167</v>
      </c>
      <c r="D1577" s="3" t="s">
        <v>3372</v>
      </c>
      <c r="E1577" s="3" t="s">
        <v>56</v>
      </c>
      <c r="F1577" s="2">
        <v>43258</v>
      </c>
      <c r="G1577" s="2"/>
      <c r="H1577" s="2525" t="s">
        <v>17</v>
      </c>
      <c r="I1577" s="2526" t="s">
        <v>18</v>
      </c>
      <c r="J1577" s="3" t="s">
        <v>19</v>
      </c>
      <c r="K1577" s="3"/>
    </row>
    <row r="1578" spans="1:11" ht="43.2" x14ac:dyDescent="0.3">
      <c r="A1578" s="3" t="s">
        <v>3371</v>
      </c>
      <c r="B1578" s="3" t="str">
        <f>"034867059"</f>
        <v>034867059</v>
      </c>
      <c r="C1578" s="3" t="s">
        <v>167</v>
      </c>
      <c r="D1578" s="3" t="s">
        <v>3373</v>
      </c>
      <c r="E1578" s="3" t="s">
        <v>56</v>
      </c>
      <c r="F1578" s="2">
        <v>43258</v>
      </c>
      <c r="G1578" s="2"/>
      <c r="H1578" s="2527" t="s">
        <v>17</v>
      </c>
      <c r="I1578" s="2528" t="s">
        <v>18</v>
      </c>
      <c r="J1578" s="3" t="s">
        <v>19</v>
      </c>
      <c r="K1578" s="3"/>
    </row>
    <row r="1579" spans="1:11" ht="43.2" x14ac:dyDescent="0.3">
      <c r="A1579" s="3" t="s">
        <v>3371</v>
      </c>
      <c r="B1579" s="3" t="str">
        <f>"034867061"</f>
        <v>034867061</v>
      </c>
      <c r="C1579" s="3" t="s">
        <v>167</v>
      </c>
      <c r="D1579" s="3" t="s">
        <v>3374</v>
      </c>
      <c r="E1579" s="3" t="s">
        <v>56</v>
      </c>
      <c r="F1579" s="2">
        <v>43258</v>
      </c>
      <c r="G1579" s="2"/>
      <c r="H1579" s="2529" t="s">
        <v>17</v>
      </c>
      <c r="I1579" s="2530" t="s">
        <v>18</v>
      </c>
      <c r="J1579" s="3" t="s">
        <v>19</v>
      </c>
      <c r="K1579" s="3"/>
    </row>
    <row r="1580" spans="1:11" ht="43.2" x14ac:dyDescent="0.3">
      <c r="A1580" s="3" t="s">
        <v>3375</v>
      </c>
      <c r="B1580" s="3" t="str">
        <f>"020925018"</f>
        <v>020925018</v>
      </c>
      <c r="C1580" s="3" t="s">
        <v>3376</v>
      </c>
      <c r="D1580" s="3" t="s">
        <v>3377</v>
      </c>
      <c r="E1580" s="3" t="s">
        <v>303</v>
      </c>
      <c r="F1580" s="2">
        <v>40941</v>
      </c>
      <c r="G1580" s="2"/>
      <c r="H1580" s="2531" t="s">
        <v>17</v>
      </c>
      <c r="I1580" s="2532" t="s">
        <v>18</v>
      </c>
      <c r="J1580" s="3" t="s">
        <v>19</v>
      </c>
      <c r="K1580" s="3"/>
    </row>
    <row r="1581" spans="1:11" ht="43.2" x14ac:dyDescent="0.3">
      <c r="A1581" s="3" t="s">
        <v>3375</v>
      </c>
      <c r="B1581" s="3" t="str">
        <f>"020925069"</f>
        <v>020925069</v>
      </c>
      <c r="C1581" s="3" t="s">
        <v>3376</v>
      </c>
      <c r="D1581" s="3" t="s">
        <v>3378</v>
      </c>
      <c r="E1581" s="3" t="s">
        <v>303</v>
      </c>
      <c r="F1581" s="2">
        <v>44197</v>
      </c>
      <c r="G1581" s="2"/>
      <c r="H1581" s="2533" t="s">
        <v>37</v>
      </c>
      <c r="I1581" s="2534" t="s">
        <v>18</v>
      </c>
      <c r="J1581" s="3" t="s">
        <v>19</v>
      </c>
      <c r="K1581" s="3"/>
    </row>
    <row r="1582" spans="1:11" ht="43.2" x14ac:dyDescent="0.3">
      <c r="A1582" s="3" t="s">
        <v>3379</v>
      </c>
      <c r="B1582" s="3" t="str">
        <f>"039442049"</f>
        <v>039442049</v>
      </c>
      <c r="C1582" s="3" t="s">
        <v>3288</v>
      </c>
      <c r="D1582" s="3" t="s">
        <v>3380</v>
      </c>
      <c r="E1582" s="3" t="s">
        <v>56</v>
      </c>
      <c r="F1582" s="2">
        <v>44043</v>
      </c>
      <c r="G1582" s="2"/>
      <c r="H1582" s="2535" t="s">
        <v>17</v>
      </c>
      <c r="I1582" s="2536" t="s">
        <v>18</v>
      </c>
      <c r="J1582" s="3" t="s">
        <v>19</v>
      </c>
      <c r="K1582" s="3"/>
    </row>
    <row r="1583" spans="1:11" ht="57.6" x14ac:dyDescent="0.3">
      <c r="A1583" s="3" t="s">
        <v>3381</v>
      </c>
      <c r="B1583" s="3" t="str">
        <f>"025999121"</f>
        <v>025999121</v>
      </c>
      <c r="C1583" s="3" t="s">
        <v>3382</v>
      </c>
      <c r="D1583" s="3" t="s">
        <v>3383</v>
      </c>
      <c r="E1583" s="3" t="s">
        <v>3384</v>
      </c>
      <c r="F1583" s="2">
        <v>43405</v>
      </c>
      <c r="G1583" s="2"/>
      <c r="H1583" s="2537" t="s">
        <v>37</v>
      </c>
      <c r="I1583" s="3" t="s">
        <v>782</v>
      </c>
      <c r="J1583" s="3" t="s">
        <v>156</v>
      </c>
      <c r="K1583" s="3"/>
    </row>
    <row r="1584" spans="1:11" ht="57.6" x14ac:dyDescent="0.3">
      <c r="A1584" s="3" t="s">
        <v>3385</v>
      </c>
      <c r="B1584" s="3" t="str">
        <f>"026616019"</f>
        <v>026616019</v>
      </c>
      <c r="C1584" s="3" t="s">
        <v>3386</v>
      </c>
      <c r="D1584" s="3" t="s">
        <v>3387</v>
      </c>
      <c r="E1584" s="3" t="s">
        <v>576</v>
      </c>
      <c r="F1584" s="2">
        <v>43763</v>
      </c>
      <c r="G1584" s="2"/>
      <c r="H1584" s="2538" t="s">
        <v>37</v>
      </c>
      <c r="I1584" s="3" t="s">
        <v>41</v>
      </c>
      <c r="J1584" s="3" t="s">
        <v>156</v>
      </c>
      <c r="K1584" s="3" t="s">
        <v>3388</v>
      </c>
    </row>
    <row r="1585" spans="1:11" ht="43.2" x14ac:dyDescent="0.3">
      <c r="A1585" s="3" t="s">
        <v>3385</v>
      </c>
      <c r="B1585" s="3" t="str">
        <f>"026616021"</f>
        <v>026616021</v>
      </c>
      <c r="C1585" s="3" t="s">
        <v>3386</v>
      </c>
      <c r="D1585" s="3" t="s">
        <v>3389</v>
      </c>
      <c r="E1585" s="3" t="s">
        <v>576</v>
      </c>
      <c r="F1585" s="2">
        <v>42278</v>
      </c>
      <c r="G1585" s="2"/>
      <c r="H1585" s="2539" t="s">
        <v>37</v>
      </c>
      <c r="I1585" s="2540" t="s">
        <v>18</v>
      </c>
      <c r="J1585" s="3" t="s">
        <v>19</v>
      </c>
      <c r="K1585" s="3"/>
    </row>
    <row r="1586" spans="1:11" ht="43.2" x14ac:dyDescent="0.3">
      <c r="A1586" s="3" t="s">
        <v>3390</v>
      </c>
      <c r="B1586" s="3" t="str">
        <f>"019993031"</f>
        <v>019993031</v>
      </c>
      <c r="C1586" s="3" t="s">
        <v>1438</v>
      </c>
      <c r="D1586" s="3" t="s">
        <v>3391</v>
      </c>
      <c r="E1586" s="3" t="s">
        <v>576</v>
      </c>
      <c r="F1586" s="2">
        <v>41442</v>
      </c>
      <c r="G1586" s="2"/>
      <c r="H1586" s="2541" t="s">
        <v>17</v>
      </c>
      <c r="I1586" s="2542" t="s">
        <v>18</v>
      </c>
      <c r="J1586" s="3" t="s">
        <v>19</v>
      </c>
      <c r="K1586" s="3"/>
    </row>
    <row r="1587" spans="1:11" ht="43.2" x14ac:dyDescent="0.3">
      <c r="A1587" s="3" t="s">
        <v>3392</v>
      </c>
      <c r="B1587" s="3" t="str">
        <f>"040344020"</f>
        <v>040344020</v>
      </c>
      <c r="C1587" s="3" t="s">
        <v>1653</v>
      </c>
      <c r="D1587" s="3" t="s">
        <v>3393</v>
      </c>
      <c r="E1587" s="3" t="s">
        <v>3394</v>
      </c>
      <c r="F1587" s="2">
        <v>43312</v>
      </c>
      <c r="G1587" s="2"/>
      <c r="H1587" s="2543" t="s">
        <v>17</v>
      </c>
      <c r="I1587" s="2544" t="s">
        <v>32</v>
      </c>
      <c r="J1587" s="3" t="s">
        <v>19</v>
      </c>
      <c r="K1587" s="3"/>
    </row>
    <row r="1588" spans="1:11" ht="43.2" x14ac:dyDescent="0.3">
      <c r="A1588" s="3" t="s">
        <v>3395</v>
      </c>
      <c r="B1588" s="3" t="str">
        <f>"023362039"</f>
        <v>023362039</v>
      </c>
      <c r="C1588" s="3" t="s">
        <v>3396</v>
      </c>
      <c r="D1588" s="3" t="s">
        <v>3397</v>
      </c>
      <c r="E1588" s="3" t="s">
        <v>467</v>
      </c>
      <c r="F1588" s="2">
        <v>44119</v>
      </c>
      <c r="G1588" s="2">
        <v>44227</v>
      </c>
      <c r="H1588" s="2545" t="s">
        <v>17</v>
      </c>
      <c r="I1588" s="3" t="s">
        <v>152</v>
      </c>
      <c r="J1588" s="3" t="s">
        <v>19</v>
      </c>
      <c r="K1588" s="3"/>
    </row>
    <row r="1589" spans="1:11" ht="43.2" x14ac:dyDescent="0.3">
      <c r="A1589" s="3" t="s">
        <v>3395</v>
      </c>
      <c r="B1589" s="3" t="str">
        <f>"023362041"</f>
        <v>023362041</v>
      </c>
      <c r="C1589" s="3" t="s">
        <v>3396</v>
      </c>
      <c r="D1589" s="3" t="s">
        <v>3398</v>
      </c>
      <c r="E1589" s="3" t="s">
        <v>467</v>
      </c>
      <c r="F1589" s="2">
        <v>44119</v>
      </c>
      <c r="G1589" s="2">
        <v>44227</v>
      </c>
      <c r="H1589" s="2546" t="s">
        <v>17</v>
      </c>
      <c r="I1589" s="3" t="s">
        <v>152</v>
      </c>
      <c r="J1589" s="3" t="s">
        <v>19</v>
      </c>
      <c r="K1589" s="3"/>
    </row>
    <row r="1590" spans="1:11" ht="57.6" x14ac:dyDescent="0.3">
      <c r="A1590" s="3" t="s">
        <v>3399</v>
      </c>
      <c r="B1590" s="3" t="str">
        <f>"027686068"</f>
        <v>027686068</v>
      </c>
      <c r="C1590" s="3" t="s">
        <v>2240</v>
      </c>
      <c r="D1590" s="3" t="s">
        <v>3400</v>
      </c>
      <c r="E1590" s="3" t="s">
        <v>3401</v>
      </c>
      <c r="F1590" s="2">
        <v>43665</v>
      </c>
      <c r="G1590" s="2"/>
      <c r="H1590" s="2547" t="s">
        <v>17</v>
      </c>
      <c r="I1590" s="2548" t="s">
        <v>18</v>
      </c>
      <c r="J1590" s="3" t="s">
        <v>19</v>
      </c>
      <c r="K1590" s="3"/>
    </row>
    <row r="1591" spans="1:11" ht="57.6" x14ac:dyDescent="0.3">
      <c r="A1591" s="3" t="s">
        <v>3399</v>
      </c>
      <c r="B1591" s="3" t="str">
        <f>"027686070"</f>
        <v>027686070</v>
      </c>
      <c r="C1591" s="3" t="s">
        <v>2240</v>
      </c>
      <c r="D1591" s="3" t="s">
        <v>3402</v>
      </c>
      <c r="E1591" s="3" t="s">
        <v>3401</v>
      </c>
      <c r="F1591" s="2">
        <v>43665</v>
      </c>
      <c r="G1591" s="2"/>
      <c r="H1591" s="2549" t="s">
        <v>37</v>
      </c>
      <c r="I1591" s="2550" t="s">
        <v>18</v>
      </c>
      <c r="J1591" s="3" t="s">
        <v>19</v>
      </c>
      <c r="K1591" s="3"/>
    </row>
    <row r="1592" spans="1:11" ht="57.6" x14ac:dyDescent="0.3">
      <c r="A1592" s="3" t="s">
        <v>3399</v>
      </c>
      <c r="B1592" s="3" t="str">
        <f>"027686082"</f>
        <v>027686082</v>
      </c>
      <c r="C1592" s="3" t="s">
        <v>2240</v>
      </c>
      <c r="D1592" s="3" t="s">
        <v>3403</v>
      </c>
      <c r="E1592" s="3" t="s">
        <v>3401</v>
      </c>
      <c r="F1592" s="2">
        <v>43665</v>
      </c>
      <c r="G1592" s="2"/>
      <c r="H1592" s="2551" t="s">
        <v>17</v>
      </c>
      <c r="I1592" s="2552" t="s">
        <v>18</v>
      </c>
      <c r="J1592" s="3" t="s">
        <v>19</v>
      </c>
      <c r="K1592" s="3"/>
    </row>
    <row r="1593" spans="1:11" ht="28.8" x14ac:dyDescent="0.3">
      <c r="A1593" s="3" t="s">
        <v>3404</v>
      </c>
      <c r="B1593" s="3" t="str">
        <f>"021153010"</f>
        <v>021153010</v>
      </c>
      <c r="C1593" s="3" t="s">
        <v>3405</v>
      </c>
      <c r="D1593" s="3" t="s">
        <v>3406</v>
      </c>
      <c r="E1593" s="3" t="s">
        <v>1251</v>
      </c>
      <c r="F1593" s="2">
        <v>42671</v>
      </c>
      <c r="G1593" s="2">
        <v>44561</v>
      </c>
      <c r="H1593" s="2553" t="s">
        <v>37</v>
      </c>
      <c r="I1593" s="3" t="s">
        <v>41</v>
      </c>
      <c r="J1593" s="3" t="s">
        <v>240</v>
      </c>
      <c r="K1593" s="3"/>
    </row>
    <row r="1594" spans="1:11" ht="28.8" x14ac:dyDescent="0.3">
      <c r="A1594" s="3" t="s">
        <v>3404</v>
      </c>
      <c r="B1594" s="3" t="str">
        <f>"021153022"</f>
        <v>021153022</v>
      </c>
      <c r="C1594" s="3" t="s">
        <v>3405</v>
      </c>
      <c r="D1594" s="3" t="s">
        <v>3407</v>
      </c>
      <c r="E1594" s="3" t="s">
        <v>1251</v>
      </c>
      <c r="F1594" s="2">
        <v>42689</v>
      </c>
      <c r="G1594" s="2">
        <v>44561</v>
      </c>
      <c r="H1594" s="2554" t="s">
        <v>37</v>
      </c>
      <c r="I1594" s="3" t="s">
        <v>41</v>
      </c>
      <c r="J1594" s="3" t="s">
        <v>240</v>
      </c>
      <c r="K1594" s="3"/>
    </row>
    <row r="1595" spans="1:11" ht="43.2" x14ac:dyDescent="0.3">
      <c r="A1595" s="3" t="s">
        <v>3408</v>
      </c>
      <c r="B1595" s="3" t="str">
        <f>"025300043"</f>
        <v>025300043</v>
      </c>
      <c r="C1595" s="3" t="s">
        <v>3409</v>
      </c>
      <c r="D1595" s="3" t="s">
        <v>3410</v>
      </c>
      <c r="E1595" s="3" t="s">
        <v>425</v>
      </c>
      <c r="F1595" s="2">
        <v>43205</v>
      </c>
      <c r="G1595" s="2"/>
      <c r="H1595" s="2555" t="s">
        <v>17</v>
      </c>
      <c r="I1595" s="2556" t="s">
        <v>32</v>
      </c>
      <c r="J1595" s="3" t="s">
        <v>19</v>
      </c>
      <c r="K1595" s="3"/>
    </row>
    <row r="1596" spans="1:11" ht="43.2" x14ac:dyDescent="0.3">
      <c r="A1596" s="3" t="s">
        <v>3411</v>
      </c>
      <c r="B1596" s="3" t="str">
        <f>"024951028"</f>
        <v>024951028</v>
      </c>
      <c r="C1596" s="3" t="s">
        <v>1441</v>
      </c>
      <c r="D1596" s="3" t="s">
        <v>3412</v>
      </c>
      <c r="E1596" s="3" t="s">
        <v>1617</v>
      </c>
      <c r="F1596" s="2">
        <v>42887</v>
      </c>
      <c r="G1596" s="2"/>
      <c r="H1596" s="2557" t="s">
        <v>17</v>
      </c>
      <c r="I1596" s="2558" t="s">
        <v>18</v>
      </c>
      <c r="J1596" s="3" t="s">
        <v>19</v>
      </c>
      <c r="K1596" s="3"/>
    </row>
    <row r="1597" spans="1:11" ht="86.4" x14ac:dyDescent="0.3">
      <c r="A1597" s="3" t="s">
        <v>3413</v>
      </c>
      <c r="B1597" s="3" t="str">
        <f>"029447048"</f>
        <v>029447048</v>
      </c>
      <c r="C1597" s="3" t="s">
        <v>3414</v>
      </c>
      <c r="D1597" s="3" t="s">
        <v>3415</v>
      </c>
      <c r="E1597" s="3" t="s">
        <v>3401</v>
      </c>
      <c r="F1597" s="2">
        <v>43595</v>
      </c>
      <c r="G1597" s="2"/>
      <c r="H1597" s="2559" t="s">
        <v>17</v>
      </c>
      <c r="I1597" s="2560" t="s">
        <v>18</v>
      </c>
      <c r="J1597" s="3" t="s">
        <v>19</v>
      </c>
      <c r="K1597" s="3"/>
    </row>
    <row r="1598" spans="1:11" ht="86.4" x14ac:dyDescent="0.3">
      <c r="A1598" s="3" t="s">
        <v>3413</v>
      </c>
      <c r="B1598" s="3" t="str">
        <f>"029447051"</f>
        <v>029447051</v>
      </c>
      <c r="C1598" s="3" t="s">
        <v>3414</v>
      </c>
      <c r="D1598" s="3" t="s">
        <v>3416</v>
      </c>
      <c r="E1598" s="3" t="s">
        <v>3401</v>
      </c>
      <c r="F1598" s="2">
        <v>43665</v>
      </c>
      <c r="G1598" s="2"/>
      <c r="H1598" s="2561" t="s">
        <v>17</v>
      </c>
      <c r="I1598" s="2562" t="s">
        <v>18</v>
      </c>
      <c r="J1598" s="3" t="s">
        <v>19</v>
      </c>
      <c r="K1598" s="3"/>
    </row>
    <row r="1599" spans="1:11" ht="86.4" x14ac:dyDescent="0.3">
      <c r="A1599" s="3" t="s">
        <v>3413</v>
      </c>
      <c r="B1599" s="3" t="str">
        <f>"029447063"</f>
        <v>029447063</v>
      </c>
      <c r="C1599" s="3" t="s">
        <v>3414</v>
      </c>
      <c r="D1599" s="3" t="s">
        <v>3417</v>
      </c>
      <c r="E1599" s="3" t="s">
        <v>3401</v>
      </c>
      <c r="F1599" s="2">
        <v>43595</v>
      </c>
      <c r="G1599" s="2"/>
      <c r="H1599" s="2563" t="s">
        <v>17</v>
      </c>
      <c r="I1599" s="2564" t="s">
        <v>18</v>
      </c>
      <c r="J1599" s="3" t="s">
        <v>19</v>
      </c>
      <c r="K1599" s="3"/>
    </row>
    <row r="1600" spans="1:11" ht="100.8" x14ac:dyDescent="0.3">
      <c r="A1600" s="3" t="s">
        <v>3418</v>
      </c>
      <c r="B1600" s="3" t="str">
        <f>"041282029"</f>
        <v>041282029</v>
      </c>
      <c r="C1600" s="3" t="s">
        <v>3419</v>
      </c>
      <c r="D1600" s="3" t="s">
        <v>3420</v>
      </c>
      <c r="E1600" s="3" t="s">
        <v>3421</v>
      </c>
      <c r="F1600" s="2">
        <v>42809</v>
      </c>
      <c r="G1600" s="2">
        <v>44561</v>
      </c>
      <c r="H1600" s="2565" t="s">
        <v>37</v>
      </c>
      <c r="I1600" s="3" t="s">
        <v>41</v>
      </c>
      <c r="J1600" s="3" t="s">
        <v>19</v>
      </c>
      <c r="K1600" s="3"/>
    </row>
    <row r="1601" spans="1:11" ht="100.8" x14ac:dyDescent="0.3">
      <c r="A1601" s="3" t="s">
        <v>3418</v>
      </c>
      <c r="B1601" s="3" t="str">
        <f>"041282017"</f>
        <v>041282017</v>
      </c>
      <c r="C1601" s="3" t="s">
        <v>3419</v>
      </c>
      <c r="D1601" s="3" t="s">
        <v>3422</v>
      </c>
      <c r="E1601" s="3" t="s">
        <v>3421</v>
      </c>
      <c r="F1601" s="2">
        <v>42809</v>
      </c>
      <c r="G1601" s="2">
        <v>44561</v>
      </c>
      <c r="H1601" s="2566" t="s">
        <v>37</v>
      </c>
      <c r="I1601" s="3" t="s">
        <v>41</v>
      </c>
      <c r="J1601" s="3" t="s">
        <v>19</v>
      </c>
      <c r="K1601" s="3"/>
    </row>
    <row r="1602" spans="1:11" ht="43.2" x14ac:dyDescent="0.3">
      <c r="A1602" s="3" t="s">
        <v>3423</v>
      </c>
      <c r="B1602" s="3" t="str">
        <f>"034061010"</f>
        <v>034061010</v>
      </c>
      <c r="C1602" s="3" t="s">
        <v>128</v>
      </c>
      <c r="D1602" s="3" t="s">
        <v>3424</v>
      </c>
      <c r="E1602" s="3" t="s">
        <v>2207</v>
      </c>
      <c r="F1602" s="2">
        <v>44058</v>
      </c>
      <c r="G1602" s="2"/>
      <c r="H1602" s="2567" t="s">
        <v>17</v>
      </c>
      <c r="I1602" s="2568" t="s">
        <v>18</v>
      </c>
      <c r="J1602" s="3" t="s">
        <v>19</v>
      </c>
      <c r="K1602" s="3"/>
    </row>
    <row r="1603" spans="1:11" ht="43.2" x14ac:dyDescent="0.3">
      <c r="A1603" s="3" t="s">
        <v>3423</v>
      </c>
      <c r="B1603" s="3" t="str">
        <f>"034061022"</f>
        <v>034061022</v>
      </c>
      <c r="C1603" s="3" t="s">
        <v>128</v>
      </c>
      <c r="D1603" s="3" t="s">
        <v>3425</v>
      </c>
      <c r="E1603" s="3" t="s">
        <v>2207</v>
      </c>
      <c r="F1603" s="2">
        <v>42522</v>
      </c>
      <c r="G1603" s="2"/>
      <c r="H1603" s="2569" t="s">
        <v>17</v>
      </c>
      <c r="I1603" s="2570" t="s">
        <v>18</v>
      </c>
      <c r="J1603" s="3" t="s">
        <v>19</v>
      </c>
      <c r="K1603" s="3"/>
    </row>
    <row r="1604" spans="1:11" ht="43.2" x14ac:dyDescent="0.3">
      <c r="A1604" s="3" t="s">
        <v>3426</v>
      </c>
      <c r="B1604" s="3" t="str">
        <f>"044010015"</f>
        <v>044010015</v>
      </c>
      <c r="C1604" s="3" t="s">
        <v>3427</v>
      </c>
      <c r="D1604" s="3" t="s">
        <v>3428</v>
      </c>
      <c r="E1604" s="3" t="s">
        <v>659</v>
      </c>
      <c r="F1604" s="2">
        <v>43221</v>
      </c>
      <c r="G1604" s="2"/>
      <c r="H1604" s="2571" t="s">
        <v>17</v>
      </c>
      <c r="I1604" s="2572" t="s">
        <v>18</v>
      </c>
      <c r="J1604" s="3" t="s">
        <v>19</v>
      </c>
      <c r="K1604" s="3"/>
    </row>
    <row r="1605" spans="1:11" ht="43.2" x14ac:dyDescent="0.3">
      <c r="A1605" s="3" t="s">
        <v>3429</v>
      </c>
      <c r="B1605" s="3" t="str">
        <f>"036583033"</f>
        <v>036583033</v>
      </c>
      <c r="C1605" s="3" t="s">
        <v>2240</v>
      </c>
      <c r="D1605" s="3" t="s">
        <v>3430</v>
      </c>
      <c r="E1605" s="3" t="s">
        <v>3431</v>
      </c>
      <c r="F1605" s="2">
        <v>43746</v>
      </c>
      <c r="G1605" s="2">
        <v>43749</v>
      </c>
      <c r="H1605" s="2573" t="s">
        <v>17</v>
      </c>
      <c r="I1605" s="3" t="s">
        <v>41</v>
      </c>
      <c r="J1605" s="3" t="s">
        <v>19</v>
      </c>
      <c r="K1605" s="3"/>
    </row>
    <row r="1606" spans="1:11" ht="43.2" x14ac:dyDescent="0.3">
      <c r="A1606" s="3" t="s">
        <v>3432</v>
      </c>
      <c r="B1606" s="3" t="str">
        <f>"035584010"</f>
        <v>035584010</v>
      </c>
      <c r="C1606" s="3" t="s">
        <v>3433</v>
      </c>
      <c r="D1606" s="3" t="s">
        <v>3434</v>
      </c>
      <c r="E1606" s="3" t="s">
        <v>438</v>
      </c>
      <c r="F1606" s="2">
        <v>43308</v>
      </c>
      <c r="G1606" s="2"/>
      <c r="H1606" s="2574" t="s">
        <v>17</v>
      </c>
      <c r="I1606" s="2575" t="s">
        <v>18</v>
      </c>
      <c r="J1606" s="3" t="s">
        <v>19</v>
      </c>
      <c r="K1606" s="3"/>
    </row>
    <row r="1607" spans="1:11" ht="43.2" x14ac:dyDescent="0.3">
      <c r="A1607" s="3" t="s">
        <v>3432</v>
      </c>
      <c r="B1607" s="3" t="str">
        <f>"035584022"</f>
        <v>035584022</v>
      </c>
      <c r="C1607" s="3" t="s">
        <v>3433</v>
      </c>
      <c r="D1607" s="3" t="s">
        <v>3435</v>
      </c>
      <c r="E1607" s="3" t="s">
        <v>438</v>
      </c>
      <c r="F1607" s="2">
        <v>43188</v>
      </c>
      <c r="G1607" s="2"/>
      <c r="H1607" s="2576" t="s">
        <v>17</v>
      </c>
      <c r="I1607" s="2577" t="s">
        <v>18</v>
      </c>
      <c r="J1607" s="3" t="s">
        <v>19</v>
      </c>
      <c r="K1607" s="3"/>
    </row>
    <row r="1608" spans="1:11" ht="57.6" x14ac:dyDescent="0.3">
      <c r="A1608" s="3" t="s">
        <v>3436</v>
      </c>
      <c r="B1608" s="3" t="str">
        <f>"035143015"</f>
        <v>035143015</v>
      </c>
      <c r="C1608" s="3" t="s">
        <v>1342</v>
      </c>
      <c r="D1608" s="3" t="s">
        <v>3437</v>
      </c>
      <c r="E1608" s="3" t="s">
        <v>2191</v>
      </c>
      <c r="F1608" s="2">
        <v>44197</v>
      </c>
      <c r="G1608" s="2">
        <v>44561</v>
      </c>
      <c r="H1608" s="2578" t="s">
        <v>17</v>
      </c>
      <c r="I1608" s="3" t="s">
        <v>41</v>
      </c>
      <c r="J1608" s="3" t="s">
        <v>156</v>
      </c>
      <c r="K1608" s="3"/>
    </row>
    <row r="1609" spans="1:11" ht="57.6" x14ac:dyDescent="0.3">
      <c r="A1609" s="3" t="s">
        <v>3436</v>
      </c>
      <c r="B1609" s="3" t="str">
        <f>"035143027"</f>
        <v>035143027</v>
      </c>
      <c r="C1609" s="3" t="s">
        <v>1342</v>
      </c>
      <c r="D1609" s="3" t="s">
        <v>3438</v>
      </c>
      <c r="E1609" s="3" t="s">
        <v>2191</v>
      </c>
      <c r="F1609" s="2">
        <v>44197</v>
      </c>
      <c r="G1609" s="2">
        <v>44561</v>
      </c>
      <c r="H1609" s="2579" t="s">
        <v>17</v>
      </c>
      <c r="I1609" s="3" t="s">
        <v>41</v>
      </c>
      <c r="J1609" s="3" t="s">
        <v>156</v>
      </c>
      <c r="K1609" s="3"/>
    </row>
    <row r="1610" spans="1:11" ht="57.6" x14ac:dyDescent="0.3">
      <c r="A1610" s="3" t="s">
        <v>3436</v>
      </c>
      <c r="B1610" s="3" t="str">
        <f>"035143039"</f>
        <v>035143039</v>
      </c>
      <c r="C1610" s="3" t="s">
        <v>1342</v>
      </c>
      <c r="D1610" s="3" t="s">
        <v>3439</v>
      </c>
      <c r="E1610" s="3" t="s">
        <v>2191</v>
      </c>
      <c r="F1610" s="2">
        <v>44197</v>
      </c>
      <c r="G1610" s="2">
        <v>44561</v>
      </c>
      <c r="H1610" s="2580" t="s">
        <v>17</v>
      </c>
      <c r="I1610" s="3" t="s">
        <v>41</v>
      </c>
      <c r="J1610" s="3" t="s">
        <v>156</v>
      </c>
      <c r="K1610" s="3"/>
    </row>
    <row r="1611" spans="1:11" ht="57.6" x14ac:dyDescent="0.3">
      <c r="A1611" s="3" t="s">
        <v>3440</v>
      </c>
      <c r="B1611" s="3" t="str">
        <f>"040652012"</f>
        <v>040652012</v>
      </c>
      <c r="C1611" s="3" t="s">
        <v>1342</v>
      </c>
      <c r="D1611" s="3" t="s">
        <v>3441</v>
      </c>
      <c r="E1611" s="3" t="s">
        <v>2191</v>
      </c>
      <c r="F1611" s="2">
        <v>44197</v>
      </c>
      <c r="G1611" s="2">
        <v>44561</v>
      </c>
      <c r="H1611" s="2581" t="s">
        <v>17</v>
      </c>
      <c r="I1611" s="3" t="s">
        <v>41</v>
      </c>
      <c r="J1611" s="3" t="s">
        <v>156</v>
      </c>
      <c r="K1611" s="3"/>
    </row>
    <row r="1612" spans="1:11" ht="57.6" x14ac:dyDescent="0.3">
      <c r="A1612" s="3" t="s">
        <v>3440</v>
      </c>
      <c r="B1612" s="3" t="str">
        <f>"040652048"</f>
        <v>040652048</v>
      </c>
      <c r="C1612" s="3" t="s">
        <v>1342</v>
      </c>
      <c r="D1612" s="3" t="s">
        <v>3442</v>
      </c>
      <c r="E1612" s="3" t="s">
        <v>2191</v>
      </c>
      <c r="F1612" s="2">
        <v>44197</v>
      </c>
      <c r="G1612" s="2">
        <v>44561</v>
      </c>
      <c r="H1612" s="2582" t="s">
        <v>17</v>
      </c>
      <c r="I1612" s="3" t="s">
        <v>41</v>
      </c>
      <c r="J1612" s="3" t="s">
        <v>156</v>
      </c>
      <c r="K1612" s="3"/>
    </row>
    <row r="1613" spans="1:11" ht="57.6" x14ac:dyDescent="0.3">
      <c r="A1613" s="3" t="s">
        <v>3440</v>
      </c>
      <c r="B1613" s="3" t="str">
        <f>"040652075"</f>
        <v>040652075</v>
      </c>
      <c r="C1613" s="3" t="s">
        <v>1342</v>
      </c>
      <c r="D1613" s="3" t="s">
        <v>3443</v>
      </c>
      <c r="E1613" s="3" t="s">
        <v>2191</v>
      </c>
      <c r="F1613" s="2">
        <v>44197</v>
      </c>
      <c r="G1613" s="2">
        <v>44561</v>
      </c>
      <c r="H1613" s="2583" t="s">
        <v>17</v>
      </c>
      <c r="I1613" s="3" t="s">
        <v>41</v>
      </c>
      <c r="J1613" s="3" t="s">
        <v>156</v>
      </c>
      <c r="K1613" s="3"/>
    </row>
    <row r="1614" spans="1:11" ht="57.6" x14ac:dyDescent="0.3">
      <c r="A1614" s="3" t="s">
        <v>3440</v>
      </c>
      <c r="B1614" s="3" t="str">
        <f>"040652101"</f>
        <v>040652101</v>
      </c>
      <c r="C1614" s="3" t="s">
        <v>1342</v>
      </c>
      <c r="D1614" s="3" t="s">
        <v>3444</v>
      </c>
      <c r="E1614" s="3" t="s">
        <v>2191</v>
      </c>
      <c r="F1614" s="2">
        <v>44197</v>
      </c>
      <c r="G1614" s="2">
        <v>44561</v>
      </c>
      <c r="H1614" s="2584" t="s">
        <v>17</v>
      </c>
      <c r="I1614" s="3" t="s">
        <v>41</v>
      </c>
      <c r="J1614" s="3" t="s">
        <v>156</v>
      </c>
      <c r="K1614" s="3"/>
    </row>
    <row r="1615" spans="1:11" ht="57.6" x14ac:dyDescent="0.3">
      <c r="A1615" s="3" t="s">
        <v>3440</v>
      </c>
      <c r="B1615" s="3" t="str">
        <f>"040652137"</f>
        <v>040652137</v>
      </c>
      <c r="C1615" s="3" t="s">
        <v>1342</v>
      </c>
      <c r="D1615" s="3" t="s">
        <v>3445</v>
      </c>
      <c r="E1615" s="3" t="s">
        <v>2191</v>
      </c>
      <c r="F1615" s="2">
        <v>44197</v>
      </c>
      <c r="G1615" s="2">
        <v>44561</v>
      </c>
      <c r="H1615" s="2585" t="s">
        <v>17</v>
      </c>
      <c r="I1615" s="3" t="s">
        <v>41</v>
      </c>
      <c r="J1615" s="3" t="s">
        <v>156</v>
      </c>
      <c r="K1615" s="3"/>
    </row>
    <row r="1616" spans="1:11" ht="57.6" x14ac:dyDescent="0.3">
      <c r="A1616" s="3" t="s">
        <v>3440</v>
      </c>
      <c r="B1616" s="3" t="str">
        <f>"040652164"</f>
        <v>040652164</v>
      </c>
      <c r="C1616" s="3" t="s">
        <v>1342</v>
      </c>
      <c r="D1616" s="3" t="s">
        <v>3446</v>
      </c>
      <c r="E1616" s="3" t="s">
        <v>2191</v>
      </c>
      <c r="F1616" s="2">
        <v>44197</v>
      </c>
      <c r="G1616" s="2">
        <v>44561</v>
      </c>
      <c r="H1616" s="2586" t="s">
        <v>17</v>
      </c>
      <c r="I1616" s="3" t="s">
        <v>41</v>
      </c>
      <c r="J1616" s="3" t="s">
        <v>156</v>
      </c>
      <c r="K1616" s="3"/>
    </row>
    <row r="1617" spans="1:11" ht="43.2" x14ac:dyDescent="0.3">
      <c r="A1617" s="3" t="s">
        <v>3447</v>
      </c>
      <c r="B1617" s="3" t="str">
        <f>"038113039"</f>
        <v>038113039</v>
      </c>
      <c r="C1617" s="3" t="s">
        <v>2891</v>
      </c>
      <c r="D1617" s="3" t="s">
        <v>3448</v>
      </c>
      <c r="E1617" s="3" t="s">
        <v>412</v>
      </c>
      <c r="F1617" s="2">
        <v>42864</v>
      </c>
      <c r="G1617" s="2"/>
      <c r="H1617" s="2587" t="s">
        <v>17</v>
      </c>
      <c r="I1617" s="3" t="s">
        <v>41</v>
      </c>
      <c r="J1617" s="3" t="s">
        <v>19</v>
      </c>
      <c r="K1617" s="3"/>
    </row>
    <row r="1618" spans="1:11" ht="43.2" x14ac:dyDescent="0.3">
      <c r="A1618" s="3" t="s">
        <v>3447</v>
      </c>
      <c r="B1618" s="3" t="str">
        <f>"038113041"</f>
        <v>038113041</v>
      </c>
      <c r="C1618" s="3" t="s">
        <v>2891</v>
      </c>
      <c r="D1618" s="3" t="s">
        <v>3449</v>
      </c>
      <c r="E1618" s="3" t="s">
        <v>412</v>
      </c>
      <c r="F1618" s="2">
        <v>43054</v>
      </c>
      <c r="G1618" s="2"/>
      <c r="H1618" s="2588" t="s">
        <v>17</v>
      </c>
      <c r="I1618" s="3" t="s">
        <v>41</v>
      </c>
      <c r="J1618" s="3" t="s">
        <v>19</v>
      </c>
      <c r="K1618" s="3"/>
    </row>
    <row r="1619" spans="1:11" ht="43.2" x14ac:dyDescent="0.3">
      <c r="A1619" s="3" t="s">
        <v>3447</v>
      </c>
      <c r="B1619" s="3" t="str">
        <f>"038113027"</f>
        <v>038113027</v>
      </c>
      <c r="C1619" s="3" t="s">
        <v>2891</v>
      </c>
      <c r="D1619" s="3" t="s">
        <v>3450</v>
      </c>
      <c r="E1619" s="3" t="s">
        <v>412</v>
      </c>
      <c r="F1619" s="2">
        <v>43584</v>
      </c>
      <c r="G1619" s="2"/>
      <c r="H1619" s="2589" t="s">
        <v>17</v>
      </c>
      <c r="I1619" s="3" t="s">
        <v>41</v>
      </c>
      <c r="J1619" s="3" t="s">
        <v>19</v>
      </c>
      <c r="K1619" s="3"/>
    </row>
    <row r="1620" spans="1:11" ht="43.2" x14ac:dyDescent="0.3">
      <c r="A1620" s="3" t="s">
        <v>3447</v>
      </c>
      <c r="B1620" s="3" t="str">
        <f>"038113015"</f>
        <v>038113015</v>
      </c>
      <c r="C1620" s="3" t="s">
        <v>2891</v>
      </c>
      <c r="D1620" s="3" t="s">
        <v>3451</v>
      </c>
      <c r="E1620" s="3" t="s">
        <v>412</v>
      </c>
      <c r="F1620" s="2">
        <v>43241</v>
      </c>
      <c r="G1620" s="2"/>
      <c r="H1620" s="2590" t="s">
        <v>17</v>
      </c>
      <c r="I1620" s="3" t="s">
        <v>41</v>
      </c>
      <c r="J1620" s="3" t="s">
        <v>19</v>
      </c>
      <c r="K1620" s="3"/>
    </row>
    <row r="1621" spans="1:11" ht="57.6" x14ac:dyDescent="0.3">
      <c r="A1621" s="3" t="s">
        <v>3452</v>
      </c>
      <c r="B1621" s="3" t="str">
        <f>"038612038"</f>
        <v>038612038</v>
      </c>
      <c r="C1621" s="3" t="s">
        <v>2721</v>
      </c>
      <c r="D1621" s="3" t="s">
        <v>3453</v>
      </c>
      <c r="E1621" s="3" t="s">
        <v>846</v>
      </c>
      <c r="F1621" s="2">
        <v>43497</v>
      </c>
      <c r="G1621" s="2">
        <v>43646</v>
      </c>
      <c r="H1621" s="2591" t="s">
        <v>17</v>
      </c>
      <c r="I1621" s="2592" t="s">
        <v>32</v>
      </c>
      <c r="J1621" s="3" t="s">
        <v>19</v>
      </c>
      <c r="K1621" s="3"/>
    </row>
    <row r="1622" spans="1:11" ht="86.4" x14ac:dyDescent="0.3">
      <c r="A1622" s="3" t="s">
        <v>3454</v>
      </c>
      <c r="B1622" s="3" t="str">
        <f>"047477029"</f>
        <v>047477029</v>
      </c>
      <c r="C1622" s="3" t="s">
        <v>3455</v>
      </c>
      <c r="D1622" s="3" t="s">
        <v>3456</v>
      </c>
      <c r="E1622" s="3" t="s">
        <v>513</v>
      </c>
      <c r="F1622" s="2">
        <v>44112</v>
      </c>
      <c r="G1622" s="2">
        <v>44561</v>
      </c>
      <c r="H1622" s="2593" t="s">
        <v>17</v>
      </c>
      <c r="I1622" s="3" t="s">
        <v>3352</v>
      </c>
      <c r="J1622" s="3" t="s">
        <v>19</v>
      </c>
      <c r="K1622" s="3"/>
    </row>
    <row r="1623" spans="1:11" ht="43.2" x14ac:dyDescent="0.3">
      <c r="A1623" s="3" t="s">
        <v>3457</v>
      </c>
      <c r="B1623" s="3" t="str">
        <f>"040429033"</f>
        <v>040429033</v>
      </c>
      <c r="C1623" s="3" t="s">
        <v>3458</v>
      </c>
      <c r="D1623" s="3" t="s">
        <v>3459</v>
      </c>
      <c r="E1623" s="3" t="s">
        <v>83</v>
      </c>
      <c r="F1623" s="2">
        <v>43272</v>
      </c>
      <c r="G1623" s="2"/>
      <c r="H1623" s="2594" t="s">
        <v>17</v>
      </c>
      <c r="I1623" s="3" t="s">
        <v>41</v>
      </c>
      <c r="J1623" s="3" t="s">
        <v>19</v>
      </c>
      <c r="K1623" s="3"/>
    </row>
    <row r="1624" spans="1:11" ht="43.2" x14ac:dyDescent="0.3">
      <c r="A1624" s="3" t="s">
        <v>3457</v>
      </c>
      <c r="B1624" s="3" t="str">
        <f>"040429250"</f>
        <v>040429250</v>
      </c>
      <c r="C1624" s="3" t="s">
        <v>3458</v>
      </c>
      <c r="D1624" s="3" t="s">
        <v>3460</v>
      </c>
      <c r="E1624" s="3" t="s">
        <v>83</v>
      </c>
      <c r="F1624" s="2">
        <v>44218</v>
      </c>
      <c r="G1624" s="2"/>
      <c r="H1624" s="2595" t="s">
        <v>17</v>
      </c>
      <c r="I1624" s="3" t="s">
        <v>41</v>
      </c>
      <c r="J1624" s="3" t="s">
        <v>19</v>
      </c>
      <c r="K1624" s="3"/>
    </row>
    <row r="1625" spans="1:11" ht="43.2" x14ac:dyDescent="0.3">
      <c r="A1625" s="3" t="s">
        <v>3461</v>
      </c>
      <c r="B1625" s="3" t="str">
        <f>"041954049"</f>
        <v>041954049</v>
      </c>
      <c r="C1625" s="3" t="s">
        <v>3458</v>
      </c>
      <c r="D1625" s="3" t="s">
        <v>3462</v>
      </c>
      <c r="E1625" s="3" t="s">
        <v>83</v>
      </c>
      <c r="F1625" s="2">
        <v>43517</v>
      </c>
      <c r="G1625" s="2"/>
      <c r="H1625" s="2596" t="s">
        <v>17</v>
      </c>
      <c r="I1625" s="3" t="s">
        <v>41</v>
      </c>
      <c r="J1625" s="3" t="s">
        <v>19</v>
      </c>
      <c r="K1625" s="3"/>
    </row>
    <row r="1626" spans="1:11" ht="43.2" x14ac:dyDescent="0.3">
      <c r="A1626" s="3" t="s">
        <v>3463</v>
      </c>
      <c r="B1626" s="3" t="str">
        <f>"040223012"</f>
        <v>040223012</v>
      </c>
      <c r="C1626" s="3" t="s">
        <v>3458</v>
      </c>
      <c r="D1626" s="3" t="s">
        <v>3464</v>
      </c>
      <c r="E1626" s="3" t="s">
        <v>64</v>
      </c>
      <c r="F1626" s="2">
        <v>44013</v>
      </c>
      <c r="G1626" s="2"/>
      <c r="H1626" s="2597" t="s">
        <v>17</v>
      </c>
      <c r="I1626" s="3" t="s">
        <v>41</v>
      </c>
      <c r="J1626" s="3" t="s">
        <v>19</v>
      </c>
      <c r="K1626" s="3"/>
    </row>
    <row r="1627" spans="1:11" ht="43.2" x14ac:dyDescent="0.3">
      <c r="A1627" s="3" t="s">
        <v>3463</v>
      </c>
      <c r="B1627" s="3" t="str">
        <f>"040223048"</f>
        <v>040223048</v>
      </c>
      <c r="C1627" s="3" t="s">
        <v>3458</v>
      </c>
      <c r="D1627" s="3" t="s">
        <v>3380</v>
      </c>
      <c r="E1627" s="3" t="s">
        <v>64</v>
      </c>
      <c r="F1627" s="2">
        <v>44044</v>
      </c>
      <c r="G1627" s="2"/>
      <c r="H1627" s="2598" t="s">
        <v>17</v>
      </c>
      <c r="I1627" s="3" t="s">
        <v>41</v>
      </c>
      <c r="J1627" s="3" t="s">
        <v>19</v>
      </c>
      <c r="K1627" s="3"/>
    </row>
    <row r="1628" spans="1:11" ht="43.2" x14ac:dyDescent="0.3">
      <c r="A1628" s="3" t="s">
        <v>3463</v>
      </c>
      <c r="B1628" s="3" t="str">
        <f>"040223101"</f>
        <v>040223101</v>
      </c>
      <c r="C1628" s="3" t="s">
        <v>3458</v>
      </c>
      <c r="D1628" s="3" t="s">
        <v>3465</v>
      </c>
      <c r="E1628" s="3" t="s">
        <v>64</v>
      </c>
      <c r="F1628" s="2">
        <v>44013</v>
      </c>
      <c r="G1628" s="2"/>
      <c r="H1628" s="2599" t="s">
        <v>17</v>
      </c>
      <c r="I1628" s="3" t="s">
        <v>41</v>
      </c>
      <c r="J1628" s="3" t="s">
        <v>19</v>
      </c>
      <c r="K1628" s="3"/>
    </row>
    <row r="1629" spans="1:11" ht="43.2" x14ac:dyDescent="0.3">
      <c r="A1629" s="3" t="s">
        <v>3463</v>
      </c>
      <c r="B1629" s="3" t="str">
        <f>"040223190"</f>
        <v>040223190</v>
      </c>
      <c r="C1629" s="3" t="s">
        <v>3458</v>
      </c>
      <c r="D1629" s="3" t="s">
        <v>3466</v>
      </c>
      <c r="E1629" s="3" t="s">
        <v>64</v>
      </c>
      <c r="F1629" s="2">
        <v>44075</v>
      </c>
      <c r="G1629" s="2"/>
      <c r="H1629" s="2600" t="s">
        <v>17</v>
      </c>
      <c r="I1629" s="3" t="s">
        <v>41</v>
      </c>
      <c r="J1629" s="3" t="s">
        <v>19</v>
      </c>
      <c r="K1629" s="3"/>
    </row>
    <row r="1630" spans="1:11" ht="43.2" x14ac:dyDescent="0.3">
      <c r="A1630" s="3" t="s">
        <v>3463</v>
      </c>
      <c r="B1630" s="3" t="str">
        <f>"040223202"</f>
        <v>040223202</v>
      </c>
      <c r="C1630" s="3" t="s">
        <v>3458</v>
      </c>
      <c r="D1630" s="3" t="s">
        <v>3467</v>
      </c>
      <c r="E1630" s="3" t="s">
        <v>64</v>
      </c>
      <c r="F1630" s="2">
        <v>44013</v>
      </c>
      <c r="G1630" s="2"/>
      <c r="H1630" s="2601" t="s">
        <v>17</v>
      </c>
      <c r="I1630" s="3" t="s">
        <v>41</v>
      </c>
      <c r="J1630" s="3" t="s">
        <v>19</v>
      </c>
      <c r="K1630" s="3"/>
    </row>
    <row r="1631" spans="1:11" ht="43.2" x14ac:dyDescent="0.3">
      <c r="A1631" s="3" t="s">
        <v>3468</v>
      </c>
      <c r="B1631" s="3" t="str">
        <f>"040830061"</f>
        <v>040830061</v>
      </c>
      <c r="C1631" s="3" t="s">
        <v>3458</v>
      </c>
      <c r="D1631" s="3" t="s">
        <v>3469</v>
      </c>
      <c r="E1631" s="3" t="s">
        <v>99</v>
      </c>
      <c r="F1631" s="2">
        <v>44110</v>
      </c>
      <c r="G1631" s="2">
        <v>44408</v>
      </c>
      <c r="H1631" s="2602" t="s">
        <v>17</v>
      </c>
      <c r="I1631" s="3" t="s">
        <v>41</v>
      </c>
      <c r="J1631" s="3" t="s">
        <v>19</v>
      </c>
      <c r="K1631" s="3"/>
    </row>
    <row r="1632" spans="1:11" ht="43.2" x14ac:dyDescent="0.3">
      <c r="A1632" s="3" t="s">
        <v>3468</v>
      </c>
      <c r="B1632" s="3" t="str">
        <f>"040830150"</f>
        <v>040830150</v>
      </c>
      <c r="C1632" s="3" t="s">
        <v>3458</v>
      </c>
      <c r="D1632" s="3" t="s">
        <v>3470</v>
      </c>
      <c r="E1632" s="3" t="s">
        <v>99</v>
      </c>
      <c r="F1632" s="2">
        <v>44110</v>
      </c>
      <c r="G1632" s="2">
        <v>44408</v>
      </c>
      <c r="H1632" s="2603" t="s">
        <v>17</v>
      </c>
      <c r="I1632" s="3" t="s">
        <v>41</v>
      </c>
      <c r="J1632" s="3" t="s">
        <v>19</v>
      </c>
      <c r="K1632" s="3"/>
    </row>
    <row r="1633" spans="1:11" ht="43.2" x14ac:dyDescent="0.3">
      <c r="A1633" s="3" t="s">
        <v>3468</v>
      </c>
      <c r="B1633" s="3" t="str">
        <f>"040830212"</f>
        <v>040830212</v>
      </c>
      <c r="C1633" s="3" t="s">
        <v>3458</v>
      </c>
      <c r="D1633" s="3" t="s">
        <v>3471</v>
      </c>
      <c r="E1633" s="3" t="s">
        <v>99</v>
      </c>
      <c r="F1633" s="2">
        <v>44255</v>
      </c>
      <c r="G1633" s="2">
        <v>44408</v>
      </c>
      <c r="H1633" s="2604" t="s">
        <v>17</v>
      </c>
      <c r="I1633" s="3" t="s">
        <v>41</v>
      </c>
      <c r="J1633" s="3" t="s">
        <v>19</v>
      </c>
      <c r="K1633" s="3"/>
    </row>
    <row r="1634" spans="1:11" ht="57.6" x14ac:dyDescent="0.3">
      <c r="A1634" s="3" t="s">
        <v>3472</v>
      </c>
      <c r="B1634" s="3" t="str">
        <f>"044411027"</f>
        <v>044411027</v>
      </c>
      <c r="C1634" s="3" t="s">
        <v>3473</v>
      </c>
      <c r="D1634" s="3" t="s">
        <v>3474</v>
      </c>
      <c r="E1634" s="3" t="s">
        <v>83</v>
      </c>
      <c r="F1634" s="2">
        <v>43965</v>
      </c>
      <c r="G1634" s="2"/>
      <c r="H1634" s="2605" t="s">
        <v>17</v>
      </c>
      <c r="I1634" s="3" t="s">
        <v>41</v>
      </c>
      <c r="J1634" s="3" t="s">
        <v>19</v>
      </c>
      <c r="K1634" s="3"/>
    </row>
    <row r="1635" spans="1:11" ht="57.6" x14ac:dyDescent="0.3">
      <c r="A1635" s="3" t="s">
        <v>3472</v>
      </c>
      <c r="B1635" s="3" t="str">
        <f>"044411181"</f>
        <v>044411181</v>
      </c>
      <c r="C1635" s="3" t="s">
        <v>3473</v>
      </c>
      <c r="D1635" s="3" t="s">
        <v>3475</v>
      </c>
      <c r="E1635" s="3" t="s">
        <v>83</v>
      </c>
      <c r="F1635" s="2">
        <v>43965</v>
      </c>
      <c r="G1635" s="2"/>
      <c r="H1635" s="2606" t="s">
        <v>17</v>
      </c>
      <c r="I1635" s="3" t="s">
        <v>41</v>
      </c>
      <c r="J1635" s="3" t="s">
        <v>19</v>
      </c>
      <c r="K1635" s="3"/>
    </row>
    <row r="1636" spans="1:11" ht="57.6" x14ac:dyDescent="0.3">
      <c r="A1636" s="3" t="s">
        <v>3472</v>
      </c>
      <c r="B1636" s="3" t="str">
        <f>"044411344"</f>
        <v>044411344</v>
      </c>
      <c r="C1636" s="3" t="s">
        <v>3473</v>
      </c>
      <c r="D1636" s="3" t="s">
        <v>3476</v>
      </c>
      <c r="E1636" s="3" t="s">
        <v>83</v>
      </c>
      <c r="F1636" s="2">
        <v>43965</v>
      </c>
      <c r="G1636" s="2"/>
      <c r="H1636" s="2607" t="s">
        <v>17</v>
      </c>
      <c r="I1636" s="3" t="s">
        <v>41</v>
      </c>
      <c r="J1636" s="3" t="s">
        <v>19</v>
      </c>
      <c r="K1636" s="3"/>
    </row>
    <row r="1637" spans="1:11" ht="57.6" x14ac:dyDescent="0.3">
      <c r="A1637" s="3" t="s">
        <v>3472</v>
      </c>
      <c r="B1637" s="3" t="str">
        <f>"044411496"</f>
        <v>044411496</v>
      </c>
      <c r="C1637" s="3" t="s">
        <v>3473</v>
      </c>
      <c r="D1637" s="3" t="s">
        <v>3477</v>
      </c>
      <c r="E1637" s="3" t="s">
        <v>83</v>
      </c>
      <c r="F1637" s="2">
        <v>43965</v>
      </c>
      <c r="G1637" s="2"/>
      <c r="H1637" s="2608" t="s">
        <v>17</v>
      </c>
      <c r="I1637" s="3" t="s">
        <v>41</v>
      </c>
      <c r="J1637" s="3" t="s">
        <v>19</v>
      </c>
      <c r="K1637" s="3"/>
    </row>
    <row r="1638" spans="1:11" ht="57.6" x14ac:dyDescent="0.3">
      <c r="A1638" s="3" t="s">
        <v>3478</v>
      </c>
      <c r="B1638" s="3" t="str">
        <f>"044869028"</f>
        <v>044869028</v>
      </c>
      <c r="C1638" s="3" t="s">
        <v>3473</v>
      </c>
      <c r="D1638" s="3" t="s">
        <v>3479</v>
      </c>
      <c r="E1638" s="3" t="s">
        <v>70</v>
      </c>
      <c r="F1638" s="2">
        <v>44074</v>
      </c>
      <c r="G1638" s="2"/>
      <c r="H1638" s="2609" t="s">
        <v>17</v>
      </c>
      <c r="I1638" s="3" t="s">
        <v>782</v>
      </c>
      <c r="J1638" s="3" t="s">
        <v>19</v>
      </c>
      <c r="K1638" s="3"/>
    </row>
    <row r="1639" spans="1:11" ht="57.6" x14ac:dyDescent="0.3">
      <c r="A1639" s="3" t="s">
        <v>3478</v>
      </c>
      <c r="B1639" s="3" t="str">
        <f>"044869030"</f>
        <v>044869030</v>
      </c>
      <c r="C1639" s="3" t="s">
        <v>3473</v>
      </c>
      <c r="D1639" s="3" t="s">
        <v>3480</v>
      </c>
      <c r="E1639" s="3" t="s">
        <v>70</v>
      </c>
      <c r="F1639" s="2">
        <v>44104</v>
      </c>
      <c r="G1639" s="2"/>
      <c r="H1639" s="2610" t="s">
        <v>17</v>
      </c>
      <c r="I1639" s="3" t="s">
        <v>782</v>
      </c>
      <c r="J1639" s="3" t="s">
        <v>19</v>
      </c>
      <c r="K1639" s="3"/>
    </row>
    <row r="1640" spans="1:11" ht="57.6" x14ac:dyDescent="0.3">
      <c r="A1640" s="3" t="s">
        <v>3478</v>
      </c>
      <c r="B1640" s="3" t="str">
        <f>"044869042"</f>
        <v>044869042</v>
      </c>
      <c r="C1640" s="3" t="s">
        <v>3473</v>
      </c>
      <c r="D1640" s="3" t="s">
        <v>3481</v>
      </c>
      <c r="E1640" s="3" t="s">
        <v>70</v>
      </c>
      <c r="F1640" s="2">
        <v>44104</v>
      </c>
      <c r="G1640" s="2"/>
      <c r="H1640" s="2611" t="s">
        <v>17</v>
      </c>
      <c r="I1640" s="3" t="s">
        <v>782</v>
      </c>
      <c r="J1640" s="3" t="s">
        <v>19</v>
      </c>
      <c r="K1640" s="3"/>
    </row>
    <row r="1641" spans="1:11" ht="43.2" x14ac:dyDescent="0.3">
      <c r="A1641" s="3" t="s">
        <v>3482</v>
      </c>
      <c r="B1641" s="3" t="str">
        <f>"043932021"</f>
        <v>043932021</v>
      </c>
      <c r="C1641" s="3" t="s">
        <v>3483</v>
      </c>
      <c r="D1641" s="3" t="s">
        <v>3484</v>
      </c>
      <c r="E1641" s="3" t="s">
        <v>83</v>
      </c>
      <c r="F1641" s="2">
        <v>44003</v>
      </c>
      <c r="G1641" s="2"/>
      <c r="H1641" s="2612" t="s">
        <v>17</v>
      </c>
      <c r="I1641" s="3" t="s">
        <v>41</v>
      </c>
      <c r="J1641" s="3" t="s">
        <v>19</v>
      </c>
      <c r="K1641" s="3"/>
    </row>
    <row r="1642" spans="1:11" ht="43.2" x14ac:dyDescent="0.3">
      <c r="A1642" s="3" t="s">
        <v>3482</v>
      </c>
      <c r="B1642" s="3" t="str">
        <f>"043932058"</f>
        <v>043932058</v>
      </c>
      <c r="C1642" s="3" t="s">
        <v>3483</v>
      </c>
      <c r="D1642" s="3" t="s">
        <v>3485</v>
      </c>
      <c r="E1642" s="3" t="s">
        <v>83</v>
      </c>
      <c r="F1642" s="2">
        <v>44003</v>
      </c>
      <c r="G1642" s="2"/>
      <c r="H1642" s="2613" t="s">
        <v>17</v>
      </c>
      <c r="I1642" s="3" t="s">
        <v>41</v>
      </c>
      <c r="J1642" s="3" t="s">
        <v>19</v>
      </c>
      <c r="K1642" s="3"/>
    </row>
    <row r="1643" spans="1:11" ht="43.2" x14ac:dyDescent="0.3">
      <c r="A1643" s="3" t="s">
        <v>3482</v>
      </c>
      <c r="B1643" s="3" t="str">
        <f>"043932084"</f>
        <v>043932084</v>
      </c>
      <c r="C1643" s="3" t="s">
        <v>3483</v>
      </c>
      <c r="D1643" s="3" t="s">
        <v>3486</v>
      </c>
      <c r="E1643" s="3" t="s">
        <v>83</v>
      </c>
      <c r="F1643" s="2">
        <v>43656</v>
      </c>
      <c r="G1643" s="2"/>
      <c r="H1643" s="2614" t="s">
        <v>17</v>
      </c>
      <c r="I1643" s="3" t="s">
        <v>41</v>
      </c>
      <c r="J1643" s="3" t="s">
        <v>19</v>
      </c>
      <c r="K1643" s="3"/>
    </row>
    <row r="1644" spans="1:11" ht="57.6" x14ac:dyDescent="0.3">
      <c r="A1644" s="3" t="s">
        <v>3487</v>
      </c>
      <c r="B1644" s="3" t="str">
        <f>"045512100"</f>
        <v>045512100</v>
      </c>
      <c r="C1644" s="3" t="s">
        <v>3488</v>
      </c>
      <c r="D1644" s="3" t="s">
        <v>3489</v>
      </c>
      <c r="E1644" s="3" t="s">
        <v>122</v>
      </c>
      <c r="F1644" s="2">
        <v>43971</v>
      </c>
      <c r="G1644" s="2">
        <v>44104</v>
      </c>
      <c r="H1644" s="2615" t="s">
        <v>17</v>
      </c>
      <c r="I1644" s="3" t="s">
        <v>104</v>
      </c>
      <c r="J1644" s="3" t="s">
        <v>19</v>
      </c>
      <c r="K1644" s="3"/>
    </row>
    <row r="1645" spans="1:11" ht="57.6" x14ac:dyDescent="0.3">
      <c r="A1645" s="3" t="s">
        <v>3487</v>
      </c>
      <c r="B1645" s="3" t="str">
        <f>"045512252"</f>
        <v>045512252</v>
      </c>
      <c r="C1645" s="3" t="s">
        <v>3488</v>
      </c>
      <c r="D1645" s="3" t="s">
        <v>3490</v>
      </c>
      <c r="E1645" s="3" t="s">
        <v>122</v>
      </c>
      <c r="F1645" s="2">
        <v>43999</v>
      </c>
      <c r="G1645" s="2">
        <v>44135</v>
      </c>
      <c r="H1645" s="2616" t="s">
        <v>17</v>
      </c>
      <c r="I1645" s="3" t="s">
        <v>104</v>
      </c>
      <c r="J1645" s="3" t="s">
        <v>19</v>
      </c>
      <c r="K1645" s="3"/>
    </row>
    <row r="1646" spans="1:11" ht="57.6" x14ac:dyDescent="0.3">
      <c r="A1646" s="3" t="s">
        <v>3487</v>
      </c>
      <c r="B1646" s="3" t="str">
        <f>"045512403"</f>
        <v>045512403</v>
      </c>
      <c r="C1646" s="3" t="s">
        <v>3488</v>
      </c>
      <c r="D1646" s="3" t="s">
        <v>3491</v>
      </c>
      <c r="E1646" s="3" t="s">
        <v>122</v>
      </c>
      <c r="F1646" s="2">
        <v>43538</v>
      </c>
      <c r="G1646" s="2">
        <v>44043</v>
      </c>
      <c r="H1646" s="2617" t="s">
        <v>17</v>
      </c>
      <c r="I1646" s="3" t="s">
        <v>104</v>
      </c>
      <c r="J1646" s="3" t="s">
        <v>19</v>
      </c>
      <c r="K1646" s="3"/>
    </row>
    <row r="1647" spans="1:11" ht="57.6" x14ac:dyDescent="0.3">
      <c r="A1647" s="3" t="s">
        <v>3492</v>
      </c>
      <c r="B1647" s="3" t="str">
        <f>"044232130"</f>
        <v>044232130</v>
      </c>
      <c r="C1647" s="3" t="s">
        <v>3473</v>
      </c>
      <c r="D1647" s="3" t="s">
        <v>3493</v>
      </c>
      <c r="E1647" s="3" t="s">
        <v>3494</v>
      </c>
      <c r="F1647" s="2">
        <v>43712</v>
      </c>
      <c r="G1647" s="2">
        <v>43924</v>
      </c>
      <c r="H1647" s="2618" t="s">
        <v>17</v>
      </c>
      <c r="I1647" s="3" t="s">
        <v>41</v>
      </c>
      <c r="J1647" s="3" t="s">
        <v>19</v>
      </c>
      <c r="K1647" s="3"/>
    </row>
    <row r="1648" spans="1:11" ht="57.6" x14ac:dyDescent="0.3">
      <c r="A1648" s="3" t="s">
        <v>3492</v>
      </c>
      <c r="B1648" s="3" t="str">
        <f>"044232332"</f>
        <v>044232332</v>
      </c>
      <c r="C1648" s="3" t="s">
        <v>3473</v>
      </c>
      <c r="D1648" s="3" t="s">
        <v>3495</v>
      </c>
      <c r="E1648" s="3" t="s">
        <v>3494</v>
      </c>
      <c r="F1648" s="2">
        <v>43848</v>
      </c>
      <c r="G1648" s="2">
        <v>43896</v>
      </c>
      <c r="H1648" s="2619" t="s">
        <v>17</v>
      </c>
      <c r="I1648" s="3" t="s">
        <v>41</v>
      </c>
      <c r="J1648" s="3" t="s">
        <v>19</v>
      </c>
      <c r="K1648" s="3"/>
    </row>
    <row r="1649" spans="1:11" ht="57.6" x14ac:dyDescent="0.3">
      <c r="A1649" s="3" t="s">
        <v>3492</v>
      </c>
      <c r="B1649" s="3" t="str">
        <f>"044232231"</f>
        <v>044232231</v>
      </c>
      <c r="C1649" s="3" t="s">
        <v>3473</v>
      </c>
      <c r="D1649" s="3" t="s">
        <v>3496</v>
      </c>
      <c r="E1649" s="3" t="s">
        <v>3494</v>
      </c>
      <c r="F1649" s="2">
        <v>43636</v>
      </c>
      <c r="G1649" s="2">
        <v>44012</v>
      </c>
      <c r="H1649" s="2620" t="s">
        <v>17</v>
      </c>
      <c r="I1649" s="3" t="s">
        <v>41</v>
      </c>
      <c r="J1649" s="3" t="s">
        <v>19</v>
      </c>
      <c r="K1649" s="3"/>
    </row>
    <row r="1650" spans="1:11" ht="57.6" x14ac:dyDescent="0.3">
      <c r="A1650" s="3" t="s">
        <v>3497</v>
      </c>
      <c r="B1650" s="3" t="str">
        <f>"045197023"</f>
        <v>045197023</v>
      </c>
      <c r="C1650" s="3" t="s">
        <v>3473</v>
      </c>
      <c r="D1650" s="3" t="s">
        <v>3498</v>
      </c>
      <c r="E1650" s="3" t="s">
        <v>56</v>
      </c>
      <c r="F1650" s="2">
        <v>44049</v>
      </c>
      <c r="G1650" s="2">
        <v>44155</v>
      </c>
      <c r="H1650" s="2621" t="s">
        <v>17</v>
      </c>
      <c r="I1650" s="3" t="s">
        <v>41</v>
      </c>
      <c r="J1650" s="3" t="s">
        <v>19</v>
      </c>
      <c r="K1650" s="3"/>
    </row>
    <row r="1651" spans="1:11" ht="57.6" x14ac:dyDescent="0.3">
      <c r="A1651" s="3" t="s">
        <v>3497</v>
      </c>
      <c r="B1651" s="3" t="str">
        <f>"045197098"</f>
        <v>045197098</v>
      </c>
      <c r="C1651" s="3" t="s">
        <v>3473</v>
      </c>
      <c r="D1651" s="3" t="s">
        <v>3493</v>
      </c>
      <c r="E1651" s="3" t="s">
        <v>56</v>
      </c>
      <c r="F1651" s="2">
        <v>43922</v>
      </c>
      <c r="G1651" s="2">
        <v>44089</v>
      </c>
      <c r="H1651" s="2622" t="s">
        <v>17</v>
      </c>
      <c r="I1651" s="3" t="s">
        <v>41</v>
      </c>
      <c r="J1651" s="3" t="s">
        <v>19</v>
      </c>
      <c r="K1651" s="3"/>
    </row>
    <row r="1652" spans="1:11" ht="57.6" x14ac:dyDescent="0.3">
      <c r="A1652" s="3" t="s">
        <v>3497</v>
      </c>
      <c r="B1652" s="3" t="str">
        <f>"045197163"</f>
        <v>045197163</v>
      </c>
      <c r="C1652" s="3" t="s">
        <v>3473</v>
      </c>
      <c r="D1652" s="3" t="s">
        <v>3496</v>
      </c>
      <c r="E1652" s="3" t="s">
        <v>56</v>
      </c>
      <c r="F1652" s="2">
        <v>43997</v>
      </c>
      <c r="G1652" s="2">
        <v>44110</v>
      </c>
      <c r="H1652" s="2623" t="s">
        <v>17</v>
      </c>
      <c r="I1652" s="3" t="s">
        <v>41</v>
      </c>
      <c r="J1652" s="3" t="s">
        <v>19</v>
      </c>
      <c r="K1652" s="3"/>
    </row>
    <row r="1653" spans="1:11" ht="57.6" x14ac:dyDescent="0.3">
      <c r="A1653" s="3" t="s">
        <v>3497</v>
      </c>
      <c r="B1653" s="3" t="str">
        <f>"045197237"</f>
        <v>045197237</v>
      </c>
      <c r="C1653" s="3" t="s">
        <v>3473</v>
      </c>
      <c r="D1653" s="3" t="s">
        <v>3495</v>
      </c>
      <c r="E1653" s="3" t="s">
        <v>56</v>
      </c>
      <c r="F1653" s="2">
        <v>43819</v>
      </c>
      <c r="G1653" s="2">
        <v>44114</v>
      </c>
      <c r="H1653" s="2624" t="s">
        <v>17</v>
      </c>
      <c r="I1653" s="3" t="s">
        <v>41</v>
      </c>
      <c r="J1653" s="3" t="s">
        <v>19</v>
      </c>
      <c r="K1653" s="3"/>
    </row>
    <row r="1654" spans="1:11" ht="57.6" x14ac:dyDescent="0.3">
      <c r="A1654" s="3" t="s">
        <v>3499</v>
      </c>
      <c r="B1654" s="3" t="str">
        <f>"044243020"</f>
        <v>044243020</v>
      </c>
      <c r="C1654" s="3" t="s">
        <v>3473</v>
      </c>
      <c r="D1654" s="3" t="s">
        <v>3500</v>
      </c>
      <c r="E1654" s="3" t="s">
        <v>27</v>
      </c>
      <c r="F1654" s="2">
        <v>43933</v>
      </c>
      <c r="G1654" s="2">
        <v>44196</v>
      </c>
      <c r="H1654" s="2625" t="s">
        <v>17</v>
      </c>
      <c r="I1654" s="3" t="s">
        <v>104</v>
      </c>
      <c r="J1654" s="3" t="s">
        <v>19</v>
      </c>
      <c r="K1654" s="3"/>
    </row>
    <row r="1655" spans="1:11" ht="57.6" x14ac:dyDescent="0.3">
      <c r="A1655" s="3" t="s">
        <v>3499</v>
      </c>
      <c r="B1655" s="3" t="str">
        <f>"044243119"</f>
        <v>044243119</v>
      </c>
      <c r="C1655" s="3" t="s">
        <v>3473</v>
      </c>
      <c r="D1655" s="3" t="s">
        <v>3501</v>
      </c>
      <c r="E1655" s="3" t="s">
        <v>27</v>
      </c>
      <c r="F1655" s="2">
        <v>44006</v>
      </c>
      <c r="G1655" s="2">
        <v>44196</v>
      </c>
      <c r="H1655" s="2626" t="s">
        <v>17</v>
      </c>
      <c r="I1655" s="3" t="s">
        <v>104</v>
      </c>
      <c r="J1655" s="3" t="s">
        <v>19</v>
      </c>
      <c r="K1655" s="3"/>
    </row>
    <row r="1656" spans="1:11" ht="57.6" x14ac:dyDescent="0.3">
      <c r="A1656" s="3" t="s">
        <v>3499</v>
      </c>
      <c r="B1656" s="3" t="str">
        <f>"044243208"</f>
        <v>044243208</v>
      </c>
      <c r="C1656" s="3" t="s">
        <v>3473</v>
      </c>
      <c r="D1656" s="3" t="s">
        <v>3502</v>
      </c>
      <c r="E1656" s="3" t="s">
        <v>27</v>
      </c>
      <c r="F1656" s="2">
        <v>43992</v>
      </c>
      <c r="G1656" s="2">
        <v>44196</v>
      </c>
      <c r="H1656" s="2627" t="s">
        <v>17</v>
      </c>
      <c r="I1656" s="3" t="s">
        <v>104</v>
      </c>
      <c r="J1656" s="3" t="s">
        <v>19</v>
      </c>
      <c r="K1656" s="3"/>
    </row>
    <row r="1657" spans="1:11" ht="57.6" x14ac:dyDescent="0.3">
      <c r="A1657" s="3" t="s">
        <v>3499</v>
      </c>
      <c r="B1657" s="3" t="str">
        <f>"044243297"</f>
        <v>044243297</v>
      </c>
      <c r="C1657" s="3" t="s">
        <v>3473</v>
      </c>
      <c r="D1657" s="3" t="s">
        <v>3503</v>
      </c>
      <c r="E1657" s="3" t="s">
        <v>27</v>
      </c>
      <c r="F1657" s="2">
        <v>43895</v>
      </c>
      <c r="G1657" s="2">
        <v>44196</v>
      </c>
      <c r="H1657" s="2628" t="s">
        <v>17</v>
      </c>
      <c r="I1657" s="3" t="s">
        <v>104</v>
      </c>
      <c r="J1657" s="3" t="s">
        <v>19</v>
      </c>
      <c r="K1657" s="3"/>
    </row>
    <row r="1658" spans="1:11" ht="43.2" x14ac:dyDescent="0.3">
      <c r="A1658" s="3" t="s">
        <v>3504</v>
      </c>
      <c r="B1658" s="3" t="str">
        <f>"043112022"</f>
        <v>043112022</v>
      </c>
      <c r="C1658" s="3" t="s">
        <v>3483</v>
      </c>
      <c r="D1658" s="3" t="s">
        <v>3207</v>
      </c>
      <c r="E1658" s="3" t="s">
        <v>56</v>
      </c>
      <c r="F1658" s="2">
        <v>43997</v>
      </c>
      <c r="G1658" s="2">
        <v>44103</v>
      </c>
      <c r="H1658" s="2629" t="s">
        <v>17</v>
      </c>
      <c r="I1658" s="3" t="s">
        <v>41</v>
      </c>
      <c r="J1658" s="3" t="s">
        <v>19</v>
      </c>
      <c r="K1658" s="3"/>
    </row>
    <row r="1659" spans="1:11" ht="43.2" x14ac:dyDescent="0.3">
      <c r="A1659" s="3" t="s">
        <v>3504</v>
      </c>
      <c r="B1659" s="3" t="str">
        <f>"043112186"</f>
        <v>043112186</v>
      </c>
      <c r="C1659" s="3" t="s">
        <v>3483</v>
      </c>
      <c r="D1659" s="3" t="s">
        <v>3505</v>
      </c>
      <c r="E1659" s="3" t="s">
        <v>56</v>
      </c>
      <c r="F1659" s="2">
        <v>43997</v>
      </c>
      <c r="G1659" s="2">
        <v>44155</v>
      </c>
      <c r="H1659" s="2630" t="s">
        <v>17</v>
      </c>
      <c r="I1659" s="3" t="s">
        <v>41</v>
      </c>
      <c r="J1659" s="3" t="s">
        <v>19</v>
      </c>
      <c r="K1659" s="3"/>
    </row>
    <row r="1660" spans="1:11" ht="43.2" x14ac:dyDescent="0.3">
      <c r="A1660" s="3" t="s">
        <v>3506</v>
      </c>
      <c r="B1660" s="3" t="str">
        <f>"044399044"</f>
        <v>044399044</v>
      </c>
      <c r="C1660" s="3" t="s">
        <v>3483</v>
      </c>
      <c r="D1660" s="3" t="s">
        <v>3507</v>
      </c>
      <c r="E1660" s="3" t="s">
        <v>107</v>
      </c>
      <c r="F1660" s="2">
        <v>43720</v>
      </c>
      <c r="G1660" s="2"/>
      <c r="H1660" s="2631" t="s">
        <v>17</v>
      </c>
      <c r="I1660" s="3" t="s">
        <v>41</v>
      </c>
      <c r="J1660" s="3" t="s">
        <v>19</v>
      </c>
      <c r="K1660" s="3"/>
    </row>
    <row r="1661" spans="1:11" ht="43.2" x14ac:dyDescent="0.3">
      <c r="A1661" s="3" t="s">
        <v>3508</v>
      </c>
      <c r="B1661" s="3" t="str">
        <f>"044390223"</f>
        <v>044390223</v>
      </c>
      <c r="C1661" s="3" t="s">
        <v>3483</v>
      </c>
      <c r="D1661" s="3" t="s">
        <v>3509</v>
      </c>
      <c r="E1661" s="3" t="s">
        <v>99</v>
      </c>
      <c r="F1661" s="2">
        <v>43951</v>
      </c>
      <c r="G1661" s="2">
        <v>44165</v>
      </c>
      <c r="H1661" s="2632" t="s">
        <v>17</v>
      </c>
      <c r="I1661" s="3" t="s">
        <v>41</v>
      </c>
      <c r="J1661" s="3" t="s">
        <v>19</v>
      </c>
      <c r="K1661" s="3"/>
    </row>
    <row r="1662" spans="1:11" ht="57.6" x14ac:dyDescent="0.3">
      <c r="A1662" s="3" t="s">
        <v>3510</v>
      </c>
      <c r="B1662" s="3" t="str">
        <f>"045260066"</f>
        <v>045260066</v>
      </c>
      <c r="C1662" s="3" t="s">
        <v>3511</v>
      </c>
      <c r="D1662" s="3" t="s">
        <v>3512</v>
      </c>
      <c r="E1662" s="3" t="s">
        <v>420</v>
      </c>
      <c r="F1662" s="2">
        <v>43969</v>
      </c>
      <c r="G1662" s="2"/>
      <c r="H1662" s="2633" t="s">
        <v>17</v>
      </c>
      <c r="I1662" s="2634" t="s">
        <v>18</v>
      </c>
      <c r="J1662" s="3" t="s">
        <v>19</v>
      </c>
      <c r="K1662" s="3"/>
    </row>
    <row r="1663" spans="1:11" ht="43.2" x14ac:dyDescent="0.3">
      <c r="A1663" s="3" t="s">
        <v>3513</v>
      </c>
      <c r="B1663" s="3" t="str">
        <f>"026803027"</f>
        <v>026803027</v>
      </c>
      <c r="C1663" s="3" t="s">
        <v>465</v>
      </c>
      <c r="D1663" s="3" t="s">
        <v>3514</v>
      </c>
      <c r="E1663" s="3" t="s">
        <v>307</v>
      </c>
      <c r="F1663" s="2">
        <v>43778</v>
      </c>
      <c r="G1663" s="2"/>
      <c r="H1663" s="2635" t="s">
        <v>37</v>
      </c>
      <c r="I1663" s="2636" t="s">
        <v>18</v>
      </c>
      <c r="J1663" s="3" t="s">
        <v>19</v>
      </c>
      <c r="K1663" s="3"/>
    </row>
    <row r="1664" spans="1:11" ht="43.2" x14ac:dyDescent="0.3">
      <c r="A1664" s="3" t="s">
        <v>3515</v>
      </c>
      <c r="B1664" s="3" t="str">
        <f>"040880039"</f>
        <v>040880039</v>
      </c>
      <c r="C1664" s="3" t="s">
        <v>465</v>
      </c>
      <c r="D1664" s="3" t="s">
        <v>3516</v>
      </c>
      <c r="E1664" s="3" t="s">
        <v>64</v>
      </c>
      <c r="F1664" s="2">
        <v>43555</v>
      </c>
      <c r="G1664" s="2"/>
      <c r="H1664" s="2637" t="s">
        <v>17</v>
      </c>
      <c r="I1664" s="2638" t="s">
        <v>18</v>
      </c>
      <c r="J1664" s="3" t="s">
        <v>19</v>
      </c>
      <c r="K1664" s="3"/>
    </row>
    <row r="1665" spans="1:11" ht="43.2" x14ac:dyDescent="0.3">
      <c r="A1665" s="3" t="s">
        <v>3515</v>
      </c>
      <c r="B1665" s="3" t="str">
        <f>"040880371"</f>
        <v>040880371</v>
      </c>
      <c r="C1665" s="3" t="s">
        <v>465</v>
      </c>
      <c r="D1665" s="3" t="s">
        <v>3517</v>
      </c>
      <c r="E1665" s="3" t="s">
        <v>64</v>
      </c>
      <c r="F1665" s="2">
        <v>44013</v>
      </c>
      <c r="G1665" s="2"/>
      <c r="H1665" s="2639" t="s">
        <v>17</v>
      </c>
      <c r="I1665" s="3" t="s">
        <v>41</v>
      </c>
      <c r="J1665" s="3" t="s">
        <v>19</v>
      </c>
      <c r="K1665" s="3"/>
    </row>
    <row r="1666" spans="1:11" ht="43.2" x14ac:dyDescent="0.3">
      <c r="A1666" s="3" t="s">
        <v>3518</v>
      </c>
      <c r="B1666" s="3" t="str">
        <f>"037665015"</f>
        <v>037665015</v>
      </c>
      <c r="C1666" s="3" t="s">
        <v>465</v>
      </c>
      <c r="D1666" s="3" t="s">
        <v>3519</v>
      </c>
      <c r="E1666" s="3" t="s">
        <v>3520</v>
      </c>
      <c r="F1666" s="2">
        <v>43112</v>
      </c>
      <c r="G1666" s="2"/>
      <c r="H1666" s="2640" t="s">
        <v>17</v>
      </c>
      <c r="I1666" s="2641" t="s">
        <v>18</v>
      </c>
      <c r="J1666" s="3" t="s">
        <v>19</v>
      </c>
      <c r="K1666" s="3"/>
    </row>
    <row r="1667" spans="1:11" ht="43.2" x14ac:dyDescent="0.3">
      <c r="A1667" s="3" t="s">
        <v>3518</v>
      </c>
      <c r="B1667" s="3" t="str">
        <f>"037665027"</f>
        <v>037665027</v>
      </c>
      <c r="C1667" s="3" t="s">
        <v>465</v>
      </c>
      <c r="D1667" s="3" t="s">
        <v>3521</v>
      </c>
      <c r="E1667" s="3" t="s">
        <v>3520</v>
      </c>
      <c r="F1667" s="2">
        <v>43112</v>
      </c>
      <c r="G1667" s="2"/>
      <c r="H1667" s="2642" t="s">
        <v>17</v>
      </c>
      <c r="I1667" s="2643" t="s">
        <v>18</v>
      </c>
      <c r="J1667" s="3" t="s">
        <v>19</v>
      </c>
      <c r="K1667" s="3"/>
    </row>
    <row r="1668" spans="1:11" ht="43.2" x14ac:dyDescent="0.3">
      <c r="A1668" s="3" t="s">
        <v>3522</v>
      </c>
      <c r="B1668" s="3" t="str">
        <f>"037940020"</f>
        <v>037940020</v>
      </c>
      <c r="C1668" s="3" t="s">
        <v>465</v>
      </c>
      <c r="D1668" s="3" t="s">
        <v>3523</v>
      </c>
      <c r="E1668" s="3" t="s">
        <v>74</v>
      </c>
      <c r="F1668" s="2">
        <v>44134</v>
      </c>
      <c r="G1668" s="2"/>
      <c r="H1668" s="2644" t="s">
        <v>17</v>
      </c>
      <c r="I1668" s="2645" t="s">
        <v>18</v>
      </c>
      <c r="J1668" s="3" t="s">
        <v>19</v>
      </c>
      <c r="K1668" s="3"/>
    </row>
    <row r="1669" spans="1:11" ht="43.2" x14ac:dyDescent="0.3">
      <c r="A1669" s="3" t="s">
        <v>3524</v>
      </c>
      <c r="B1669" s="3" t="str">
        <f>"043498029"</f>
        <v>043498029</v>
      </c>
      <c r="C1669" s="3" t="s">
        <v>465</v>
      </c>
      <c r="D1669" s="3" t="s">
        <v>1817</v>
      </c>
      <c r="E1669" s="3" t="s">
        <v>211</v>
      </c>
      <c r="F1669" s="2">
        <v>44134</v>
      </c>
      <c r="G1669" s="2"/>
      <c r="H1669" s="2646" t="s">
        <v>17</v>
      </c>
      <c r="I1669" s="2647" t="s">
        <v>32</v>
      </c>
      <c r="J1669" s="3" t="s">
        <v>19</v>
      </c>
      <c r="K1669" s="3"/>
    </row>
    <row r="1670" spans="1:11" ht="43.2" x14ac:dyDescent="0.3">
      <c r="A1670" s="3" t="s">
        <v>3525</v>
      </c>
      <c r="B1670" s="3" t="str">
        <f>"040760011"</f>
        <v>040760011</v>
      </c>
      <c r="C1670" s="3" t="s">
        <v>465</v>
      </c>
      <c r="D1670" s="3" t="s">
        <v>3526</v>
      </c>
      <c r="E1670" s="3" t="s">
        <v>56</v>
      </c>
      <c r="F1670" s="2">
        <v>43413</v>
      </c>
      <c r="G1670" s="2"/>
      <c r="H1670" s="2648" t="s">
        <v>17</v>
      </c>
      <c r="I1670" s="2649" t="s">
        <v>18</v>
      </c>
      <c r="J1670" s="3" t="s">
        <v>19</v>
      </c>
      <c r="K1670" s="3"/>
    </row>
    <row r="1671" spans="1:11" ht="43.2" x14ac:dyDescent="0.3">
      <c r="A1671" s="3" t="s">
        <v>3525</v>
      </c>
      <c r="B1671" s="3" t="str">
        <f>"040760023"</f>
        <v>040760023</v>
      </c>
      <c r="C1671" s="3" t="s">
        <v>465</v>
      </c>
      <c r="D1671" s="3" t="s">
        <v>3527</v>
      </c>
      <c r="E1671" s="3" t="s">
        <v>56</v>
      </c>
      <c r="F1671" s="2">
        <v>43413</v>
      </c>
      <c r="G1671" s="2"/>
      <c r="H1671" s="2650" t="s">
        <v>17</v>
      </c>
      <c r="I1671" s="2651" t="s">
        <v>18</v>
      </c>
      <c r="J1671" s="3" t="s">
        <v>19</v>
      </c>
      <c r="K1671" s="3"/>
    </row>
    <row r="1672" spans="1:11" ht="43.2" x14ac:dyDescent="0.3">
      <c r="A1672" s="3" t="s">
        <v>3528</v>
      </c>
      <c r="B1672" s="3" t="str">
        <f>"039193014"</f>
        <v>039193014</v>
      </c>
      <c r="C1672" s="3" t="s">
        <v>3529</v>
      </c>
      <c r="D1672" s="3" t="s">
        <v>3530</v>
      </c>
      <c r="E1672" s="3" t="s">
        <v>56</v>
      </c>
      <c r="F1672" s="2">
        <v>44112</v>
      </c>
      <c r="G1672" s="2">
        <v>44561</v>
      </c>
      <c r="H1672" s="2652" t="s">
        <v>17</v>
      </c>
      <c r="I1672" s="3" t="s">
        <v>3352</v>
      </c>
      <c r="J1672" s="3" t="s">
        <v>19</v>
      </c>
      <c r="K1672" s="3"/>
    </row>
    <row r="1673" spans="1:11" ht="43.2" x14ac:dyDescent="0.3">
      <c r="A1673" s="3" t="s">
        <v>3531</v>
      </c>
      <c r="B1673" s="3" t="str">
        <f>"036403069"</f>
        <v>036403069</v>
      </c>
      <c r="C1673" s="3" t="s">
        <v>827</v>
      </c>
      <c r="D1673" s="3" t="s">
        <v>828</v>
      </c>
      <c r="E1673" s="3" t="s">
        <v>1353</v>
      </c>
      <c r="F1673" s="2">
        <v>44089</v>
      </c>
      <c r="G1673" s="2"/>
      <c r="H1673" s="2653" t="s">
        <v>17</v>
      </c>
      <c r="I1673" s="2654" t="s">
        <v>32</v>
      </c>
      <c r="J1673" s="3" t="s">
        <v>19</v>
      </c>
      <c r="K1673" s="3"/>
    </row>
    <row r="1674" spans="1:11" ht="57.6" x14ac:dyDescent="0.3">
      <c r="A1674" s="3" t="s">
        <v>3532</v>
      </c>
      <c r="B1674" s="3" t="str">
        <f>"037106073"</f>
        <v>037106073</v>
      </c>
      <c r="C1674" s="3" t="s">
        <v>2240</v>
      </c>
      <c r="D1674" s="3" t="s">
        <v>3533</v>
      </c>
      <c r="E1674" s="3" t="s">
        <v>518</v>
      </c>
      <c r="F1674" s="2">
        <v>42562</v>
      </c>
      <c r="G1674" s="2"/>
      <c r="H1674" s="2655" t="s">
        <v>17</v>
      </c>
      <c r="I1674" s="2656" t="s">
        <v>18</v>
      </c>
      <c r="J1674" s="3" t="s">
        <v>19</v>
      </c>
      <c r="K1674" s="3"/>
    </row>
    <row r="1675" spans="1:11" ht="72" x14ac:dyDescent="0.3">
      <c r="A1675" s="3" t="s">
        <v>3534</v>
      </c>
      <c r="B1675" s="3" t="str">
        <f>"044702013"</f>
        <v>044702013</v>
      </c>
      <c r="C1675" s="3" t="s">
        <v>3535</v>
      </c>
      <c r="D1675" s="3" t="s">
        <v>3536</v>
      </c>
      <c r="E1675" s="3" t="s">
        <v>3537</v>
      </c>
      <c r="F1675" s="2">
        <v>43434</v>
      </c>
      <c r="G1675" s="2"/>
      <c r="H1675" s="2657" t="s">
        <v>17</v>
      </c>
      <c r="I1675" s="2658" t="s">
        <v>18</v>
      </c>
      <c r="J1675" s="3" t="s">
        <v>19</v>
      </c>
      <c r="K1675" s="3"/>
    </row>
    <row r="1676" spans="1:11" ht="43.2" x14ac:dyDescent="0.3">
      <c r="A1676" s="3" t="s">
        <v>3538</v>
      </c>
      <c r="B1676" s="3" t="str">
        <f>"040469013"</f>
        <v>040469013</v>
      </c>
      <c r="C1676" s="3" t="s">
        <v>3539</v>
      </c>
      <c r="D1676" s="3" t="s">
        <v>3540</v>
      </c>
      <c r="E1676" s="3" t="s">
        <v>16</v>
      </c>
      <c r="F1676" s="2">
        <v>43070</v>
      </c>
      <c r="G1676" s="2"/>
      <c r="H1676" s="2659" t="s">
        <v>17</v>
      </c>
      <c r="I1676" s="2660" t="s">
        <v>18</v>
      </c>
      <c r="J1676" s="3" t="s">
        <v>19</v>
      </c>
      <c r="K1676" s="3"/>
    </row>
    <row r="1677" spans="1:11" ht="43.2" x14ac:dyDescent="0.3">
      <c r="A1677" s="3" t="s">
        <v>3538</v>
      </c>
      <c r="B1677" s="3" t="str">
        <f>"040469025"</f>
        <v>040469025</v>
      </c>
      <c r="C1677" s="3" t="s">
        <v>3539</v>
      </c>
      <c r="D1677" s="3" t="s">
        <v>3541</v>
      </c>
      <c r="E1677" s="3" t="s">
        <v>16</v>
      </c>
      <c r="F1677" s="2">
        <v>43983</v>
      </c>
      <c r="G1677" s="2">
        <v>44196</v>
      </c>
      <c r="H1677" s="2661" t="s">
        <v>17</v>
      </c>
      <c r="I1677" s="3" t="s">
        <v>41</v>
      </c>
      <c r="J1677" s="3" t="s">
        <v>19</v>
      </c>
      <c r="K1677" s="3"/>
    </row>
    <row r="1678" spans="1:11" ht="43.2" x14ac:dyDescent="0.3">
      <c r="A1678" s="3" t="s">
        <v>3538</v>
      </c>
      <c r="B1678" s="3" t="str">
        <f>"040469037"</f>
        <v>040469037</v>
      </c>
      <c r="C1678" s="3" t="s">
        <v>3539</v>
      </c>
      <c r="D1678" s="3" t="s">
        <v>3542</v>
      </c>
      <c r="E1678" s="3" t="s">
        <v>16</v>
      </c>
      <c r="F1678" s="2">
        <v>43070</v>
      </c>
      <c r="G1678" s="2"/>
      <c r="H1678" s="2662" t="s">
        <v>17</v>
      </c>
      <c r="I1678" s="2663" t="s">
        <v>18</v>
      </c>
      <c r="J1678" s="3" t="s">
        <v>19</v>
      </c>
      <c r="K1678" s="3"/>
    </row>
    <row r="1679" spans="1:11" ht="43.2" x14ac:dyDescent="0.3">
      <c r="A1679" s="3" t="s">
        <v>3543</v>
      </c>
      <c r="B1679" s="3" t="str">
        <f>"037549019"</f>
        <v>037549019</v>
      </c>
      <c r="C1679" s="3" t="s">
        <v>3544</v>
      </c>
      <c r="D1679" s="3" t="s">
        <v>3545</v>
      </c>
      <c r="E1679" s="3" t="s">
        <v>56</v>
      </c>
      <c r="F1679" s="2">
        <v>41849</v>
      </c>
      <c r="G1679" s="2"/>
      <c r="H1679" s="2664" t="s">
        <v>17</v>
      </c>
      <c r="I1679" s="2665" t="s">
        <v>18</v>
      </c>
      <c r="J1679" s="3" t="s">
        <v>19</v>
      </c>
      <c r="K1679" s="3"/>
    </row>
    <row r="1680" spans="1:11" ht="86.4" x14ac:dyDescent="0.3">
      <c r="A1680" s="3" t="s">
        <v>3546</v>
      </c>
      <c r="B1680" s="3" t="str">
        <f>"041906013"</f>
        <v>041906013</v>
      </c>
      <c r="C1680" s="3" t="s">
        <v>3547</v>
      </c>
      <c r="D1680" s="3" t="s">
        <v>3548</v>
      </c>
      <c r="E1680" s="3" t="s">
        <v>659</v>
      </c>
      <c r="F1680" s="2">
        <v>43314</v>
      </c>
      <c r="G1680" s="2"/>
      <c r="H1680" s="2666" t="s">
        <v>17</v>
      </c>
      <c r="I1680" s="2667" t="s">
        <v>18</v>
      </c>
      <c r="J1680" s="3" t="s">
        <v>19</v>
      </c>
      <c r="K1680" s="3"/>
    </row>
    <row r="1681" spans="1:11" ht="43.2" x14ac:dyDescent="0.3">
      <c r="A1681" s="3" t="s">
        <v>3549</v>
      </c>
      <c r="B1681" s="3" t="str">
        <f>"028122012"</f>
        <v>028122012</v>
      </c>
      <c r="C1681" s="3" t="s">
        <v>3547</v>
      </c>
      <c r="D1681" s="3" t="s">
        <v>3550</v>
      </c>
      <c r="E1681" s="3" t="s">
        <v>659</v>
      </c>
      <c r="F1681" s="2">
        <v>43747</v>
      </c>
      <c r="G1681" s="2"/>
      <c r="H1681" s="2668" t="s">
        <v>37</v>
      </c>
      <c r="I1681" s="2669" t="s">
        <v>18</v>
      </c>
      <c r="J1681" s="3" t="s">
        <v>19</v>
      </c>
      <c r="K1681" s="3"/>
    </row>
    <row r="1682" spans="1:11" ht="43.2" x14ac:dyDescent="0.3">
      <c r="A1682" s="3" t="s">
        <v>3549</v>
      </c>
      <c r="B1682" s="3" t="str">
        <f>"028122036"</f>
        <v>028122036</v>
      </c>
      <c r="C1682" s="3" t="s">
        <v>3547</v>
      </c>
      <c r="D1682" s="3" t="s">
        <v>3551</v>
      </c>
      <c r="E1682" s="3" t="s">
        <v>659</v>
      </c>
      <c r="F1682" s="2">
        <v>43728</v>
      </c>
      <c r="G1682" s="2"/>
      <c r="H1682" s="2670" t="s">
        <v>17</v>
      </c>
      <c r="I1682" s="2671" t="s">
        <v>18</v>
      </c>
      <c r="J1682" s="3" t="s">
        <v>19</v>
      </c>
      <c r="K1682" s="3"/>
    </row>
    <row r="1683" spans="1:11" ht="43.2" x14ac:dyDescent="0.3">
      <c r="A1683" s="3" t="s">
        <v>3552</v>
      </c>
      <c r="B1683" s="3" t="str">
        <f>"034570034"</f>
        <v>034570034</v>
      </c>
      <c r="C1683" s="3" t="s">
        <v>124</v>
      </c>
      <c r="D1683" s="3" t="s">
        <v>3553</v>
      </c>
      <c r="E1683" s="3" t="s">
        <v>1281</v>
      </c>
      <c r="F1683" s="2">
        <v>41821</v>
      </c>
      <c r="G1683" s="2"/>
      <c r="H1683" s="2672" t="s">
        <v>17</v>
      </c>
      <c r="I1683" s="2673" t="s">
        <v>18</v>
      </c>
      <c r="J1683" s="3" t="s">
        <v>19</v>
      </c>
      <c r="K1683" s="3"/>
    </row>
    <row r="1684" spans="1:11" ht="43.2" x14ac:dyDescent="0.3">
      <c r="A1684" s="3" t="s">
        <v>3554</v>
      </c>
      <c r="B1684" s="3" t="str">
        <f>"027674035"</f>
        <v>027674035</v>
      </c>
      <c r="C1684" s="3" t="s">
        <v>3555</v>
      </c>
      <c r="D1684" s="3" t="s">
        <v>3556</v>
      </c>
      <c r="E1684" s="3" t="s">
        <v>3557</v>
      </c>
      <c r="F1684" s="2">
        <v>43830</v>
      </c>
      <c r="G1684" s="2"/>
      <c r="H1684" s="2674" t="s">
        <v>37</v>
      </c>
      <c r="I1684" s="2675" t="s">
        <v>18</v>
      </c>
      <c r="J1684" s="3" t="s">
        <v>19</v>
      </c>
      <c r="K1684" s="3"/>
    </row>
    <row r="1685" spans="1:11" ht="43.2" x14ac:dyDescent="0.3">
      <c r="A1685" s="3" t="s">
        <v>3554</v>
      </c>
      <c r="B1685" s="3" t="str">
        <f>"027674136"</f>
        <v>027674136</v>
      </c>
      <c r="C1685" s="3" t="s">
        <v>3555</v>
      </c>
      <c r="D1685" s="3" t="s">
        <v>3558</v>
      </c>
      <c r="E1685" s="3" t="s">
        <v>3557</v>
      </c>
      <c r="F1685" s="2">
        <v>44135</v>
      </c>
      <c r="G1685" s="2"/>
      <c r="H1685" s="2676" t="s">
        <v>37</v>
      </c>
      <c r="I1685" s="2677" t="s">
        <v>18</v>
      </c>
      <c r="J1685" s="3" t="s">
        <v>19</v>
      </c>
      <c r="K1685" s="3"/>
    </row>
    <row r="1686" spans="1:11" ht="43.2" x14ac:dyDescent="0.3">
      <c r="A1686" s="3" t="s">
        <v>3554</v>
      </c>
      <c r="B1686" s="3" t="str">
        <f>"027674151"</f>
        <v>027674151</v>
      </c>
      <c r="C1686" s="3" t="s">
        <v>3555</v>
      </c>
      <c r="D1686" s="3" t="s">
        <v>3559</v>
      </c>
      <c r="E1686" s="3" t="s">
        <v>3557</v>
      </c>
      <c r="F1686" s="2">
        <v>44135</v>
      </c>
      <c r="G1686" s="2"/>
      <c r="H1686" s="2678" t="s">
        <v>37</v>
      </c>
      <c r="I1686" s="2679" t="s">
        <v>18</v>
      </c>
      <c r="J1686" s="3" t="s">
        <v>19</v>
      </c>
      <c r="K1686" s="3"/>
    </row>
    <row r="1687" spans="1:11" ht="43.2" x14ac:dyDescent="0.3">
      <c r="A1687" s="3" t="s">
        <v>3554</v>
      </c>
      <c r="B1687" s="3" t="str">
        <f>"027674252"</f>
        <v>027674252</v>
      </c>
      <c r="C1687" s="3" t="s">
        <v>3555</v>
      </c>
      <c r="D1687" s="3" t="s">
        <v>3560</v>
      </c>
      <c r="E1687" s="3" t="s">
        <v>3557</v>
      </c>
      <c r="F1687" s="2">
        <v>43830</v>
      </c>
      <c r="G1687" s="2"/>
      <c r="H1687" s="2680" t="s">
        <v>37</v>
      </c>
      <c r="I1687" s="2681" t="s">
        <v>18</v>
      </c>
      <c r="J1687" s="3" t="s">
        <v>19</v>
      </c>
      <c r="K1687" s="3"/>
    </row>
    <row r="1688" spans="1:11" ht="43.2" x14ac:dyDescent="0.3">
      <c r="A1688" s="3" t="s">
        <v>3561</v>
      </c>
      <c r="B1688" s="3" t="str">
        <f>"027002043"</f>
        <v>027002043</v>
      </c>
      <c r="C1688" s="3" t="s">
        <v>3562</v>
      </c>
      <c r="D1688" s="3" t="s">
        <v>3563</v>
      </c>
      <c r="E1688" s="3" t="s">
        <v>307</v>
      </c>
      <c r="F1688" s="2">
        <v>43619</v>
      </c>
      <c r="G1688" s="2"/>
      <c r="H1688" s="2682" t="s">
        <v>37</v>
      </c>
      <c r="I1688" s="2683" t="s">
        <v>18</v>
      </c>
      <c r="J1688" s="3" t="s">
        <v>19</v>
      </c>
      <c r="K1688" s="3"/>
    </row>
    <row r="1689" spans="1:11" ht="43.2" x14ac:dyDescent="0.3">
      <c r="A1689" s="3" t="s">
        <v>3561</v>
      </c>
      <c r="B1689" s="3" t="str">
        <f>"027002056"</f>
        <v>027002056</v>
      </c>
      <c r="C1689" s="3" t="s">
        <v>3562</v>
      </c>
      <c r="D1689" s="3" t="s">
        <v>3564</v>
      </c>
      <c r="E1689" s="3" t="s">
        <v>307</v>
      </c>
      <c r="F1689" s="2">
        <v>42053</v>
      </c>
      <c r="G1689" s="2"/>
      <c r="H1689" s="2684" t="s">
        <v>37</v>
      </c>
      <c r="I1689" s="2685" t="s">
        <v>18</v>
      </c>
      <c r="J1689" s="3" t="s">
        <v>19</v>
      </c>
      <c r="K1689" s="3"/>
    </row>
    <row r="1690" spans="1:11" ht="43.2" x14ac:dyDescent="0.3">
      <c r="A1690" s="3" t="s">
        <v>3565</v>
      </c>
      <c r="B1690" s="3" t="str">
        <f>"043249085"</f>
        <v>043249085</v>
      </c>
      <c r="C1690" s="3" t="s">
        <v>591</v>
      </c>
      <c r="D1690" s="3" t="s">
        <v>3566</v>
      </c>
      <c r="E1690" s="3" t="s">
        <v>438</v>
      </c>
      <c r="F1690" s="2">
        <v>43390</v>
      </c>
      <c r="G1690" s="2"/>
      <c r="H1690" s="2686" t="s">
        <v>17</v>
      </c>
      <c r="I1690" s="3" t="s">
        <v>41</v>
      </c>
      <c r="J1690" s="3" t="s">
        <v>19</v>
      </c>
      <c r="K1690" s="3"/>
    </row>
    <row r="1691" spans="1:11" ht="43.2" x14ac:dyDescent="0.3">
      <c r="A1691" s="3" t="s">
        <v>3567</v>
      </c>
      <c r="B1691" s="3" t="str">
        <f>"036588034"</f>
        <v>036588034</v>
      </c>
      <c r="C1691" s="3" t="s">
        <v>3568</v>
      </c>
      <c r="D1691" s="3" t="s">
        <v>3569</v>
      </c>
      <c r="E1691" s="3" t="s">
        <v>3537</v>
      </c>
      <c r="F1691" s="2">
        <v>42948</v>
      </c>
      <c r="G1691" s="2"/>
      <c r="H1691" s="2687" t="s">
        <v>37</v>
      </c>
      <c r="I1691" s="2688" t="s">
        <v>18</v>
      </c>
      <c r="J1691" s="3" t="s">
        <v>19</v>
      </c>
      <c r="K1691" s="3"/>
    </row>
    <row r="1692" spans="1:11" ht="43.2" x14ac:dyDescent="0.3">
      <c r="A1692" s="3" t="s">
        <v>3570</v>
      </c>
      <c r="B1692" s="3" t="str">
        <f>"034293011"</f>
        <v>034293011</v>
      </c>
      <c r="C1692" s="3" t="s">
        <v>76</v>
      </c>
      <c r="D1692" s="3" t="s">
        <v>3571</v>
      </c>
      <c r="E1692" s="3" t="s">
        <v>3572</v>
      </c>
      <c r="F1692" s="2">
        <v>43549</v>
      </c>
      <c r="G1692" s="2"/>
      <c r="H1692" s="2689" t="s">
        <v>17</v>
      </c>
      <c r="I1692" s="2690" t="s">
        <v>18</v>
      </c>
      <c r="J1692" s="3" t="s">
        <v>19</v>
      </c>
      <c r="K1692" s="3"/>
    </row>
    <row r="1693" spans="1:11" ht="57.6" x14ac:dyDescent="0.3">
      <c r="A1693" s="3" t="s">
        <v>3573</v>
      </c>
      <c r="B1693" s="3" t="str">
        <f>"024390027"</f>
        <v>024390027</v>
      </c>
      <c r="C1693" s="3" t="s">
        <v>3574</v>
      </c>
      <c r="D1693" s="3" t="s">
        <v>3575</v>
      </c>
      <c r="E1693" s="3" t="s">
        <v>1423</v>
      </c>
      <c r="F1693" s="2">
        <v>43838</v>
      </c>
      <c r="G1693" s="2"/>
      <c r="H1693" s="2691" t="s">
        <v>37</v>
      </c>
      <c r="I1693" s="2692" t="s">
        <v>18</v>
      </c>
      <c r="J1693" s="3" t="s">
        <v>19</v>
      </c>
      <c r="K1693" s="3"/>
    </row>
    <row r="1694" spans="1:11" ht="43.2" x14ac:dyDescent="0.3">
      <c r="A1694" s="3" t="s">
        <v>3576</v>
      </c>
      <c r="B1694" s="3" t="str">
        <f>"039999014"</f>
        <v>039999014</v>
      </c>
      <c r="C1694" s="3" t="s">
        <v>1650</v>
      </c>
      <c r="D1694" s="3" t="s">
        <v>3577</v>
      </c>
      <c r="E1694" s="3" t="s">
        <v>83</v>
      </c>
      <c r="F1694" s="2">
        <v>44044</v>
      </c>
      <c r="G1694" s="2"/>
      <c r="H1694" s="2693" t="s">
        <v>17</v>
      </c>
      <c r="I1694" s="3" t="s">
        <v>41</v>
      </c>
      <c r="J1694" s="3" t="s">
        <v>19</v>
      </c>
      <c r="K1694" s="3"/>
    </row>
    <row r="1695" spans="1:11" ht="43.2" x14ac:dyDescent="0.3">
      <c r="A1695" s="3" t="s">
        <v>3576</v>
      </c>
      <c r="B1695" s="3" t="str">
        <f>"039999026"</f>
        <v>039999026</v>
      </c>
      <c r="C1695" s="3" t="s">
        <v>1650</v>
      </c>
      <c r="D1695" s="3" t="s">
        <v>3578</v>
      </c>
      <c r="E1695" s="3" t="s">
        <v>83</v>
      </c>
      <c r="F1695" s="2">
        <v>44044</v>
      </c>
      <c r="G1695" s="2"/>
      <c r="H1695" s="2694" t="s">
        <v>17</v>
      </c>
      <c r="I1695" s="3" t="s">
        <v>41</v>
      </c>
      <c r="J1695" s="3" t="s">
        <v>19</v>
      </c>
      <c r="K1695" s="3"/>
    </row>
    <row r="1696" spans="1:11" ht="43.2" x14ac:dyDescent="0.3">
      <c r="A1696" s="3" t="s">
        <v>3576</v>
      </c>
      <c r="B1696" s="3" t="str">
        <f>"039999038"</f>
        <v>039999038</v>
      </c>
      <c r="C1696" s="3" t="s">
        <v>1650</v>
      </c>
      <c r="D1696" s="3" t="s">
        <v>3579</v>
      </c>
      <c r="E1696" s="3" t="s">
        <v>83</v>
      </c>
      <c r="F1696" s="2">
        <v>44044</v>
      </c>
      <c r="G1696" s="2"/>
      <c r="H1696" s="2695" t="s">
        <v>17</v>
      </c>
      <c r="I1696" s="3" t="s">
        <v>41</v>
      </c>
      <c r="J1696" s="3" t="s">
        <v>19</v>
      </c>
      <c r="K1696" s="3"/>
    </row>
    <row r="1697" spans="1:11" ht="43.2" x14ac:dyDescent="0.3">
      <c r="A1697" s="3" t="s">
        <v>3580</v>
      </c>
      <c r="B1697" s="3" t="str">
        <f>"041274022"</f>
        <v>041274022</v>
      </c>
      <c r="C1697" s="3" t="s">
        <v>1650</v>
      </c>
      <c r="D1697" s="3" t="s">
        <v>3581</v>
      </c>
      <c r="E1697" s="3" t="s">
        <v>16</v>
      </c>
      <c r="F1697" s="2">
        <v>44207</v>
      </c>
      <c r="G1697" s="2">
        <v>44327</v>
      </c>
      <c r="H1697" s="2696" t="s">
        <v>17</v>
      </c>
      <c r="I1697" s="3" t="s">
        <v>41</v>
      </c>
      <c r="J1697" s="3" t="s">
        <v>19</v>
      </c>
      <c r="K1697" s="3"/>
    </row>
    <row r="1698" spans="1:11" ht="43.2" x14ac:dyDescent="0.3">
      <c r="A1698" s="3" t="s">
        <v>3582</v>
      </c>
      <c r="B1698" s="3" t="str">
        <f>"038094013"</f>
        <v>038094013</v>
      </c>
      <c r="C1698" s="3" t="s">
        <v>1650</v>
      </c>
      <c r="D1698" s="3" t="s">
        <v>3583</v>
      </c>
      <c r="E1698" s="3" t="s">
        <v>412</v>
      </c>
      <c r="F1698" s="2">
        <v>43081</v>
      </c>
      <c r="G1698" s="2"/>
      <c r="H1698" s="2697" t="s">
        <v>17</v>
      </c>
      <c r="I1698" s="3" t="s">
        <v>41</v>
      </c>
      <c r="J1698" s="3" t="s">
        <v>19</v>
      </c>
      <c r="K1698" s="3" t="s">
        <v>3584</v>
      </c>
    </row>
    <row r="1699" spans="1:11" ht="43.2" x14ac:dyDescent="0.3">
      <c r="A1699" s="3" t="s">
        <v>3582</v>
      </c>
      <c r="B1699" s="3" t="str">
        <f>"038094025"</f>
        <v>038094025</v>
      </c>
      <c r="C1699" s="3" t="s">
        <v>1650</v>
      </c>
      <c r="D1699" s="3" t="s">
        <v>3585</v>
      </c>
      <c r="E1699" s="3" t="s">
        <v>412</v>
      </c>
      <c r="F1699" s="2">
        <v>43081</v>
      </c>
      <c r="G1699" s="2"/>
      <c r="H1699" s="2698" t="s">
        <v>17</v>
      </c>
      <c r="I1699" s="3" t="s">
        <v>41</v>
      </c>
      <c r="J1699" s="3" t="s">
        <v>19</v>
      </c>
      <c r="K1699" s="3" t="s">
        <v>3584</v>
      </c>
    </row>
    <row r="1700" spans="1:11" ht="57.6" x14ac:dyDescent="0.3">
      <c r="A1700" s="3" t="s">
        <v>3586</v>
      </c>
      <c r="B1700" s="3" t="str">
        <f>"041761014"</f>
        <v>041761014</v>
      </c>
      <c r="C1700" s="3" t="s">
        <v>1650</v>
      </c>
      <c r="D1700" s="3" t="s">
        <v>3587</v>
      </c>
      <c r="E1700" s="3" t="s">
        <v>64</v>
      </c>
      <c r="F1700" s="2">
        <v>43952</v>
      </c>
      <c r="G1700" s="2"/>
      <c r="H1700" s="2699" t="s">
        <v>17</v>
      </c>
      <c r="I1700" s="3" t="s">
        <v>41</v>
      </c>
      <c r="J1700" s="3" t="s">
        <v>19</v>
      </c>
      <c r="K1700" s="3"/>
    </row>
    <row r="1701" spans="1:11" ht="57.6" x14ac:dyDescent="0.3">
      <c r="A1701" s="3" t="s">
        <v>3586</v>
      </c>
      <c r="B1701" s="3" t="str">
        <f>"041761038"</f>
        <v>041761038</v>
      </c>
      <c r="C1701" s="3" t="s">
        <v>1650</v>
      </c>
      <c r="D1701" s="3" t="s">
        <v>3588</v>
      </c>
      <c r="E1701" s="3" t="s">
        <v>64</v>
      </c>
      <c r="F1701" s="2">
        <v>43891</v>
      </c>
      <c r="G1701" s="2">
        <v>43983</v>
      </c>
      <c r="H1701" s="2700" t="s">
        <v>17</v>
      </c>
      <c r="I1701" s="3" t="s">
        <v>41</v>
      </c>
      <c r="J1701" s="3" t="s">
        <v>19</v>
      </c>
      <c r="K1701" s="3"/>
    </row>
    <row r="1702" spans="1:11" ht="57.6" x14ac:dyDescent="0.3">
      <c r="A1702" s="3" t="s">
        <v>3586</v>
      </c>
      <c r="B1702" s="3" t="str">
        <f>"041761053"</f>
        <v>041761053</v>
      </c>
      <c r="C1702" s="3" t="s">
        <v>1650</v>
      </c>
      <c r="D1702" s="3" t="s">
        <v>3589</v>
      </c>
      <c r="E1702" s="3" t="s">
        <v>64</v>
      </c>
      <c r="F1702" s="2">
        <v>43891</v>
      </c>
      <c r="G1702" s="2"/>
      <c r="H1702" s="2701" t="s">
        <v>17</v>
      </c>
      <c r="I1702" s="3" t="s">
        <v>41</v>
      </c>
      <c r="J1702" s="3" t="s">
        <v>19</v>
      </c>
      <c r="K1702" s="3"/>
    </row>
    <row r="1703" spans="1:11" ht="43.2" x14ac:dyDescent="0.3">
      <c r="A1703" s="3" t="s">
        <v>3590</v>
      </c>
      <c r="B1703" s="3" t="str">
        <f>"038107037"</f>
        <v>038107037</v>
      </c>
      <c r="C1703" s="3" t="s">
        <v>1650</v>
      </c>
      <c r="D1703" s="3" t="s">
        <v>3585</v>
      </c>
      <c r="E1703" s="3" t="s">
        <v>27</v>
      </c>
      <c r="F1703" s="2">
        <v>44101</v>
      </c>
      <c r="G1703" s="2">
        <v>44165</v>
      </c>
      <c r="H1703" s="2702" t="s">
        <v>17</v>
      </c>
      <c r="I1703" s="3" t="s">
        <v>152</v>
      </c>
      <c r="J1703" s="3" t="s">
        <v>19</v>
      </c>
      <c r="K1703" s="3"/>
    </row>
    <row r="1704" spans="1:11" ht="57.6" x14ac:dyDescent="0.3">
      <c r="A1704" s="3" t="s">
        <v>3591</v>
      </c>
      <c r="B1704" s="3" t="str">
        <f>"040573014"</f>
        <v>040573014</v>
      </c>
      <c r="C1704" s="3" t="s">
        <v>470</v>
      </c>
      <c r="D1704" s="3" t="s">
        <v>3592</v>
      </c>
      <c r="E1704" s="3" t="s">
        <v>16</v>
      </c>
      <c r="F1704" s="2">
        <v>43841</v>
      </c>
      <c r="G1704" s="2">
        <v>44327</v>
      </c>
      <c r="H1704" s="2703" t="s">
        <v>17</v>
      </c>
      <c r="I1704" s="3" t="s">
        <v>41</v>
      </c>
      <c r="J1704" s="3" t="s">
        <v>19</v>
      </c>
      <c r="K1704" s="3"/>
    </row>
    <row r="1705" spans="1:11" ht="57.6" x14ac:dyDescent="0.3">
      <c r="A1705" s="3" t="s">
        <v>3591</v>
      </c>
      <c r="B1705" s="3" t="str">
        <f>"040573026"</f>
        <v>040573026</v>
      </c>
      <c r="C1705" s="3" t="s">
        <v>470</v>
      </c>
      <c r="D1705" s="3" t="s">
        <v>3593</v>
      </c>
      <c r="E1705" s="3" t="s">
        <v>16</v>
      </c>
      <c r="F1705" s="2">
        <v>43845</v>
      </c>
      <c r="G1705" s="2">
        <v>44227</v>
      </c>
      <c r="H1705" s="2704" t="s">
        <v>17</v>
      </c>
      <c r="I1705" s="3" t="s">
        <v>41</v>
      </c>
      <c r="J1705" s="3" t="s">
        <v>19</v>
      </c>
      <c r="K1705" s="3"/>
    </row>
    <row r="1706" spans="1:11" ht="57.6" x14ac:dyDescent="0.3">
      <c r="A1706" s="3" t="s">
        <v>3591</v>
      </c>
      <c r="B1706" s="3" t="str">
        <f>"040573038"</f>
        <v>040573038</v>
      </c>
      <c r="C1706" s="3" t="s">
        <v>470</v>
      </c>
      <c r="D1706" s="3" t="s">
        <v>3594</v>
      </c>
      <c r="E1706" s="3" t="s">
        <v>16</v>
      </c>
      <c r="F1706" s="2">
        <v>43983</v>
      </c>
      <c r="G1706" s="2">
        <v>44227</v>
      </c>
      <c r="H1706" s="2705" t="s">
        <v>17</v>
      </c>
      <c r="I1706" s="3" t="s">
        <v>41</v>
      </c>
      <c r="J1706" s="3" t="s">
        <v>19</v>
      </c>
      <c r="K1706" s="3"/>
    </row>
    <row r="1707" spans="1:11" ht="57.6" x14ac:dyDescent="0.3">
      <c r="A1707" s="3" t="s">
        <v>3591</v>
      </c>
      <c r="B1707" s="3" t="str">
        <f>"040573040"</f>
        <v>040573040</v>
      </c>
      <c r="C1707" s="3" t="s">
        <v>470</v>
      </c>
      <c r="D1707" s="3" t="s">
        <v>3595</v>
      </c>
      <c r="E1707" s="3" t="s">
        <v>16</v>
      </c>
      <c r="F1707" s="2">
        <v>43951</v>
      </c>
      <c r="G1707" s="2">
        <v>44227</v>
      </c>
      <c r="H1707" s="2706" t="s">
        <v>17</v>
      </c>
      <c r="I1707" s="3" t="s">
        <v>41</v>
      </c>
      <c r="J1707" s="3" t="s">
        <v>19</v>
      </c>
      <c r="K1707" s="3"/>
    </row>
    <row r="1708" spans="1:11" ht="57.6" x14ac:dyDescent="0.3">
      <c r="A1708" s="3" t="s">
        <v>3591</v>
      </c>
      <c r="B1708" s="3" t="str">
        <f>"040573053"</f>
        <v>040573053</v>
      </c>
      <c r="C1708" s="3" t="s">
        <v>470</v>
      </c>
      <c r="D1708" s="3" t="s">
        <v>3596</v>
      </c>
      <c r="E1708" s="3" t="s">
        <v>16</v>
      </c>
      <c r="F1708" s="2">
        <v>43891</v>
      </c>
      <c r="G1708" s="2">
        <v>44227</v>
      </c>
      <c r="H1708" s="2707" t="s">
        <v>37</v>
      </c>
      <c r="I1708" s="3" t="s">
        <v>41</v>
      </c>
      <c r="J1708" s="3" t="s">
        <v>19</v>
      </c>
      <c r="K1708" s="3"/>
    </row>
    <row r="1709" spans="1:11" ht="57.6" x14ac:dyDescent="0.3">
      <c r="A1709" s="3" t="s">
        <v>3597</v>
      </c>
      <c r="B1709" s="3" t="str">
        <f>"038720025"</f>
        <v>038720025</v>
      </c>
      <c r="C1709" s="3" t="s">
        <v>470</v>
      </c>
      <c r="D1709" s="3" t="s">
        <v>3598</v>
      </c>
      <c r="E1709" s="3" t="s">
        <v>83</v>
      </c>
      <c r="F1709" s="2">
        <v>43613</v>
      </c>
      <c r="G1709" s="2"/>
      <c r="H1709" s="2708" t="s">
        <v>17</v>
      </c>
      <c r="I1709" s="3" t="s">
        <v>41</v>
      </c>
      <c r="J1709" s="3" t="s">
        <v>19</v>
      </c>
      <c r="K1709" s="3"/>
    </row>
    <row r="1710" spans="1:11" ht="43.2" x14ac:dyDescent="0.3">
      <c r="A1710" s="3" t="s">
        <v>3597</v>
      </c>
      <c r="B1710" s="3" t="str">
        <f>"038720037"</f>
        <v>038720037</v>
      </c>
      <c r="C1710" s="3" t="s">
        <v>470</v>
      </c>
      <c r="D1710" s="3" t="s">
        <v>3599</v>
      </c>
      <c r="E1710" s="3" t="s">
        <v>83</v>
      </c>
      <c r="F1710" s="2">
        <v>43734</v>
      </c>
      <c r="G1710" s="2"/>
      <c r="H1710" s="2709" t="s">
        <v>17</v>
      </c>
      <c r="I1710" s="3" t="s">
        <v>41</v>
      </c>
      <c r="J1710" s="3" t="s">
        <v>19</v>
      </c>
      <c r="K1710" s="3"/>
    </row>
    <row r="1711" spans="1:11" ht="43.2" x14ac:dyDescent="0.3">
      <c r="A1711" s="3" t="s">
        <v>3600</v>
      </c>
      <c r="B1711" s="3" t="str">
        <f>"037807031"</f>
        <v>037807031</v>
      </c>
      <c r="C1711" s="3" t="s">
        <v>470</v>
      </c>
      <c r="D1711" s="3" t="s">
        <v>3601</v>
      </c>
      <c r="E1711" s="3" t="s">
        <v>107</v>
      </c>
      <c r="F1711" s="2">
        <v>42991</v>
      </c>
      <c r="G1711" s="2"/>
      <c r="H1711" s="2710" t="s">
        <v>17</v>
      </c>
      <c r="I1711" s="2711" t="s">
        <v>32</v>
      </c>
      <c r="J1711" s="3" t="s">
        <v>19</v>
      </c>
      <c r="K1711" s="3"/>
    </row>
    <row r="1712" spans="1:11" ht="57.6" x14ac:dyDescent="0.3">
      <c r="A1712" s="3" t="s">
        <v>3602</v>
      </c>
      <c r="B1712" s="3" t="str">
        <f>"046036051"</f>
        <v>046036051</v>
      </c>
      <c r="C1712" s="3"/>
      <c r="D1712" s="3" t="s">
        <v>3603</v>
      </c>
      <c r="E1712" s="3" t="s">
        <v>122</v>
      </c>
      <c r="F1712" s="2">
        <v>43860</v>
      </c>
      <c r="G1712" s="2">
        <v>43951</v>
      </c>
      <c r="H1712" s="2712" t="s">
        <v>17</v>
      </c>
      <c r="I1712" s="3" t="s">
        <v>41</v>
      </c>
      <c r="J1712" s="3" t="s">
        <v>19</v>
      </c>
      <c r="K1712" s="3"/>
    </row>
    <row r="1713" spans="1:11" ht="43.2" x14ac:dyDescent="0.3">
      <c r="A1713" s="3" t="s">
        <v>3604</v>
      </c>
      <c r="B1713" s="3" t="str">
        <f>"044110017"</f>
        <v>044110017</v>
      </c>
      <c r="C1713" s="3" t="s">
        <v>3605</v>
      </c>
      <c r="D1713" s="3" t="s">
        <v>3606</v>
      </c>
      <c r="E1713" s="3" t="s">
        <v>651</v>
      </c>
      <c r="F1713" s="2">
        <v>43620</v>
      </c>
      <c r="G1713" s="2">
        <v>43753</v>
      </c>
      <c r="H1713" s="2713" t="s">
        <v>17</v>
      </c>
      <c r="I1713" s="3" t="s">
        <v>41</v>
      </c>
      <c r="J1713" s="3" t="s">
        <v>19</v>
      </c>
      <c r="K1713" s="3"/>
    </row>
    <row r="1714" spans="1:11" ht="43.2" x14ac:dyDescent="0.3">
      <c r="A1714" s="3" t="s">
        <v>3607</v>
      </c>
      <c r="B1714" s="3" t="str">
        <f>"044227027"</f>
        <v>044227027</v>
      </c>
      <c r="C1714" s="3" t="s">
        <v>3605</v>
      </c>
      <c r="D1714" s="3" t="s">
        <v>3608</v>
      </c>
      <c r="E1714" s="3" t="s">
        <v>239</v>
      </c>
      <c r="F1714" s="2">
        <v>44084</v>
      </c>
      <c r="G1714" s="2">
        <v>44136</v>
      </c>
      <c r="H1714" s="2714" t="s">
        <v>17</v>
      </c>
      <c r="I1714" s="3" t="s">
        <v>41</v>
      </c>
      <c r="J1714" s="3" t="s">
        <v>19</v>
      </c>
      <c r="K1714" s="3"/>
    </row>
    <row r="1715" spans="1:11" ht="43.2" x14ac:dyDescent="0.3">
      <c r="A1715" s="3" t="s">
        <v>3609</v>
      </c>
      <c r="B1715" s="3" t="str">
        <f>"035744046"</f>
        <v>035744046</v>
      </c>
      <c r="C1715" s="3" t="s">
        <v>3610</v>
      </c>
      <c r="D1715" s="3" t="s">
        <v>3611</v>
      </c>
      <c r="E1715" s="3" t="s">
        <v>3612</v>
      </c>
      <c r="F1715" s="2">
        <v>44133</v>
      </c>
      <c r="G1715" s="2"/>
      <c r="H1715" s="2715" t="s">
        <v>17</v>
      </c>
      <c r="I1715" s="2716" t="s">
        <v>18</v>
      </c>
      <c r="J1715" s="3" t="s">
        <v>19</v>
      </c>
      <c r="K1715" s="3"/>
    </row>
    <row r="1716" spans="1:11" ht="43.2" x14ac:dyDescent="0.3">
      <c r="A1716" s="3" t="s">
        <v>3609</v>
      </c>
      <c r="B1716" s="3" t="str">
        <f>"035744010"</f>
        <v>035744010</v>
      </c>
      <c r="C1716" s="3" t="s">
        <v>3610</v>
      </c>
      <c r="D1716" s="3" t="s">
        <v>3613</v>
      </c>
      <c r="E1716" s="3" t="s">
        <v>3612</v>
      </c>
      <c r="F1716" s="2">
        <v>44133</v>
      </c>
      <c r="G1716" s="2"/>
      <c r="H1716" s="2717" t="s">
        <v>17</v>
      </c>
      <c r="I1716" s="2718" t="s">
        <v>18</v>
      </c>
      <c r="J1716" s="3" t="s">
        <v>19</v>
      </c>
      <c r="K1716" s="3"/>
    </row>
    <row r="1717" spans="1:11" ht="43.2" x14ac:dyDescent="0.3">
      <c r="A1717" s="3" t="s">
        <v>3609</v>
      </c>
      <c r="B1717" s="3" t="str">
        <f>"035744022"</f>
        <v>035744022</v>
      </c>
      <c r="C1717" s="3" t="s">
        <v>3610</v>
      </c>
      <c r="D1717" s="3" t="s">
        <v>3614</v>
      </c>
      <c r="E1717" s="3" t="s">
        <v>3612</v>
      </c>
      <c r="F1717" s="2">
        <v>44197</v>
      </c>
      <c r="G1717" s="2"/>
      <c r="H1717" s="2719" t="s">
        <v>17</v>
      </c>
      <c r="I1717" s="2720" t="s">
        <v>18</v>
      </c>
      <c r="J1717" s="3" t="s">
        <v>19</v>
      </c>
      <c r="K1717" s="3"/>
    </row>
    <row r="1718" spans="1:11" ht="43.2" x14ac:dyDescent="0.3">
      <c r="A1718" s="3" t="s">
        <v>3609</v>
      </c>
      <c r="B1718" s="3" t="str">
        <f>"035744034"</f>
        <v>035744034</v>
      </c>
      <c r="C1718" s="3" t="s">
        <v>3610</v>
      </c>
      <c r="D1718" s="3" t="s">
        <v>3615</v>
      </c>
      <c r="E1718" s="3" t="s">
        <v>3612</v>
      </c>
      <c r="F1718" s="2">
        <v>44197</v>
      </c>
      <c r="G1718" s="2"/>
      <c r="H1718" s="2721" t="s">
        <v>17</v>
      </c>
      <c r="I1718" s="2722" t="s">
        <v>18</v>
      </c>
      <c r="J1718" s="3" t="s">
        <v>19</v>
      </c>
      <c r="K1718" s="3"/>
    </row>
    <row r="1719" spans="1:11" ht="57.6" x14ac:dyDescent="0.3">
      <c r="A1719" s="3" t="s">
        <v>3616</v>
      </c>
      <c r="B1719" s="3" t="str">
        <f>"039622016"</f>
        <v>039622016</v>
      </c>
      <c r="C1719" s="3" t="s">
        <v>3617</v>
      </c>
      <c r="D1719" s="3" t="s">
        <v>3618</v>
      </c>
      <c r="E1719" s="3" t="s">
        <v>3619</v>
      </c>
      <c r="F1719" s="2">
        <v>43496</v>
      </c>
      <c r="G1719" s="2"/>
      <c r="H1719" s="2723" t="s">
        <v>17</v>
      </c>
      <c r="I1719" s="2724" t="s">
        <v>32</v>
      </c>
      <c r="J1719" s="3" t="s">
        <v>19</v>
      </c>
      <c r="K1719" s="3"/>
    </row>
    <row r="1720" spans="1:11" ht="57.6" x14ac:dyDescent="0.3">
      <c r="A1720" s="3" t="s">
        <v>3616</v>
      </c>
      <c r="B1720" s="3" t="str">
        <f>"039622028"</f>
        <v>039622028</v>
      </c>
      <c r="C1720" s="3" t="s">
        <v>3617</v>
      </c>
      <c r="D1720" s="3" t="s">
        <v>3620</v>
      </c>
      <c r="E1720" s="3" t="s">
        <v>3619</v>
      </c>
      <c r="F1720" s="2">
        <v>43496</v>
      </c>
      <c r="G1720" s="2"/>
      <c r="H1720" s="2725" t="s">
        <v>17</v>
      </c>
      <c r="I1720" s="2726" t="s">
        <v>32</v>
      </c>
      <c r="J1720" s="3" t="s">
        <v>19</v>
      </c>
      <c r="K1720" s="3"/>
    </row>
    <row r="1721" spans="1:11" ht="43.2" x14ac:dyDescent="0.3">
      <c r="A1721" s="3" t="s">
        <v>3621</v>
      </c>
      <c r="B1721" s="3" t="str">
        <f>"041582014"</f>
        <v>041582014</v>
      </c>
      <c r="C1721" s="3" t="s">
        <v>3617</v>
      </c>
      <c r="D1721" s="3" t="s">
        <v>3622</v>
      </c>
      <c r="E1721" s="3" t="s">
        <v>27</v>
      </c>
      <c r="F1721" s="2">
        <v>42885</v>
      </c>
      <c r="G1721" s="2"/>
      <c r="H1721" s="2727" t="s">
        <v>17</v>
      </c>
      <c r="I1721" s="2728" t="s">
        <v>18</v>
      </c>
      <c r="J1721" s="3" t="s">
        <v>19</v>
      </c>
      <c r="K1721" s="3"/>
    </row>
    <row r="1722" spans="1:11" ht="57.6" x14ac:dyDescent="0.3">
      <c r="A1722" s="3" t="s">
        <v>3621</v>
      </c>
      <c r="B1722" s="3" t="str">
        <f>"041582038"</f>
        <v>041582038</v>
      </c>
      <c r="C1722" s="3" t="s">
        <v>3617</v>
      </c>
      <c r="D1722" s="3" t="s">
        <v>3623</v>
      </c>
      <c r="E1722" s="3" t="s">
        <v>27</v>
      </c>
      <c r="F1722" s="2">
        <v>44139</v>
      </c>
      <c r="G1722" s="2">
        <v>44561</v>
      </c>
      <c r="H1722" s="2729" t="s">
        <v>17</v>
      </c>
      <c r="I1722" s="3" t="s">
        <v>843</v>
      </c>
      <c r="J1722" s="3" t="s">
        <v>156</v>
      </c>
      <c r="K1722" s="3"/>
    </row>
    <row r="1723" spans="1:11" ht="43.2" x14ac:dyDescent="0.3">
      <c r="A1723" s="3" t="s">
        <v>3624</v>
      </c>
      <c r="B1723" s="3" t="str">
        <f>"043494145"</f>
        <v>043494145</v>
      </c>
      <c r="C1723" s="3" t="s">
        <v>3617</v>
      </c>
      <c r="D1723" s="3" t="s">
        <v>3625</v>
      </c>
      <c r="E1723" s="3" t="s">
        <v>83</v>
      </c>
      <c r="F1723" s="2">
        <v>44214</v>
      </c>
      <c r="G1723" s="2"/>
      <c r="H1723" s="2730" t="s">
        <v>17</v>
      </c>
      <c r="I1723" s="3" t="s">
        <v>41</v>
      </c>
      <c r="J1723" s="3" t="s">
        <v>19</v>
      </c>
      <c r="K1723" s="3"/>
    </row>
    <row r="1724" spans="1:11" ht="43.2" x14ac:dyDescent="0.3">
      <c r="A1724" s="3" t="s">
        <v>3626</v>
      </c>
      <c r="B1724" s="3" t="str">
        <f>"038740155"</f>
        <v>038740155</v>
      </c>
      <c r="C1724" s="3" t="s">
        <v>3617</v>
      </c>
      <c r="D1724" s="3" t="s">
        <v>3627</v>
      </c>
      <c r="E1724" s="3" t="s">
        <v>83</v>
      </c>
      <c r="F1724" s="2">
        <v>44249</v>
      </c>
      <c r="G1724" s="2"/>
      <c r="H1724" s="2731" t="s">
        <v>17</v>
      </c>
      <c r="I1724" s="2732" t="s">
        <v>18</v>
      </c>
      <c r="J1724" s="3" t="s">
        <v>19</v>
      </c>
      <c r="K1724" s="3"/>
    </row>
    <row r="1725" spans="1:11" ht="43.2" x14ac:dyDescent="0.3">
      <c r="A1725" s="3" t="s">
        <v>3628</v>
      </c>
      <c r="B1725" s="3" t="str">
        <f>"038834127"</f>
        <v>038834127</v>
      </c>
      <c r="C1725" s="3" t="s">
        <v>3617</v>
      </c>
      <c r="D1725" s="3" t="s">
        <v>3629</v>
      </c>
      <c r="E1725" s="3" t="s">
        <v>56</v>
      </c>
      <c r="F1725" s="2">
        <v>41849</v>
      </c>
      <c r="G1725" s="2"/>
      <c r="H1725" s="2733" t="s">
        <v>17</v>
      </c>
      <c r="I1725" s="2734" t="s">
        <v>18</v>
      </c>
      <c r="J1725" s="3" t="s">
        <v>19</v>
      </c>
      <c r="K1725" s="3"/>
    </row>
    <row r="1726" spans="1:11" ht="43.2" x14ac:dyDescent="0.3">
      <c r="A1726" s="3" t="s">
        <v>3628</v>
      </c>
      <c r="B1726" s="3" t="str">
        <f>"038834026"</f>
        <v>038834026</v>
      </c>
      <c r="C1726" s="3" t="s">
        <v>3617</v>
      </c>
      <c r="D1726" s="3" t="s">
        <v>3630</v>
      </c>
      <c r="E1726" s="3" t="s">
        <v>56</v>
      </c>
      <c r="F1726" s="2">
        <v>41849</v>
      </c>
      <c r="G1726" s="2"/>
      <c r="H1726" s="2735" t="s">
        <v>17</v>
      </c>
      <c r="I1726" s="2736" t="s">
        <v>18</v>
      </c>
      <c r="J1726" s="3" t="s">
        <v>19</v>
      </c>
      <c r="K1726" s="3"/>
    </row>
    <row r="1727" spans="1:11" ht="43.2" x14ac:dyDescent="0.3">
      <c r="A1727" s="3" t="s">
        <v>3628</v>
      </c>
      <c r="B1727" s="3" t="str">
        <f>"038834228"</f>
        <v>038834228</v>
      </c>
      <c r="C1727" s="3" t="s">
        <v>3617</v>
      </c>
      <c r="D1727" s="3" t="s">
        <v>857</v>
      </c>
      <c r="E1727" s="3" t="s">
        <v>56</v>
      </c>
      <c r="F1727" s="2">
        <v>44196</v>
      </c>
      <c r="G1727" s="2"/>
      <c r="H1727" s="2737" t="s">
        <v>17</v>
      </c>
      <c r="I1727" s="2738" t="s">
        <v>18</v>
      </c>
      <c r="J1727" s="3" t="s">
        <v>19</v>
      </c>
      <c r="K1727" s="3"/>
    </row>
    <row r="1728" spans="1:11" ht="43.2" x14ac:dyDescent="0.3">
      <c r="A1728" s="3" t="s">
        <v>3631</v>
      </c>
      <c r="B1728" s="3" t="str">
        <f>"040184018"</f>
        <v>040184018</v>
      </c>
      <c r="C1728" s="3" t="s">
        <v>3617</v>
      </c>
      <c r="D1728" s="3" t="s">
        <v>3632</v>
      </c>
      <c r="E1728" s="3" t="s">
        <v>64</v>
      </c>
      <c r="F1728" s="2">
        <v>43344</v>
      </c>
      <c r="G1728" s="2"/>
      <c r="H1728" s="2739" t="s">
        <v>17</v>
      </c>
      <c r="I1728" s="3" t="s">
        <v>41</v>
      </c>
      <c r="J1728" s="3" t="s">
        <v>19</v>
      </c>
      <c r="K1728" s="3"/>
    </row>
    <row r="1729" spans="1:11" ht="43.2" x14ac:dyDescent="0.3">
      <c r="A1729" s="3" t="s">
        <v>3633</v>
      </c>
      <c r="B1729" s="3" t="str">
        <f>"039015045"</f>
        <v>039015045</v>
      </c>
      <c r="C1729" s="3" t="s">
        <v>3617</v>
      </c>
      <c r="D1729" s="3" t="s">
        <v>3634</v>
      </c>
      <c r="E1729" s="3" t="s">
        <v>64</v>
      </c>
      <c r="F1729" s="2">
        <v>44013</v>
      </c>
      <c r="G1729" s="2"/>
      <c r="H1729" s="2740" t="s">
        <v>17</v>
      </c>
      <c r="I1729" s="3" t="s">
        <v>41</v>
      </c>
      <c r="J1729" s="3" t="s">
        <v>19</v>
      </c>
      <c r="K1729" s="3"/>
    </row>
    <row r="1730" spans="1:11" ht="43.2" x14ac:dyDescent="0.3">
      <c r="A1730" s="3" t="s">
        <v>3633</v>
      </c>
      <c r="B1730" s="3" t="str">
        <f>"039015134"</f>
        <v>039015134</v>
      </c>
      <c r="C1730" s="3" t="s">
        <v>3617</v>
      </c>
      <c r="D1730" s="3" t="s">
        <v>3635</v>
      </c>
      <c r="E1730" s="3" t="s">
        <v>64</v>
      </c>
      <c r="F1730" s="2">
        <v>44105</v>
      </c>
      <c r="G1730" s="2"/>
      <c r="H1730" s="2741" t="s">
        <v>17</v>
      </c>
      <c r="I1730" s="3" t="s">
        <v>41</v>
      </c>
      <c r="J1730" s="3" t="s">
        <v>19</v>
      </c>
      <c r="K1730" s="3"/>
    </row>
    <row r="1731" spans="1:11" ht="43.2" x14ac:dyDescent="0.3">
      <c r="A1731" s="3" t="s">
        <v>3633</v>
      </c>
      <c r="B1731" s="3" t="str">
        <f>"039015159"</f>
        <v>039015159</v>
      </c>
      <c r="C1731" s="3" t="s">
        <v>3617</v>
      </c>
      <c r="D1731" s="3" t="s">
        <v>3636</v>
      </c>
      <c r="E1731" s="3" t="s">
        <v>64</v>
      </c>
      <c r="F1731" s="2">
        <v>44075</v>
      </c>
      <c r="G1731" s="2"/>
      <c r="H1731" s="2742" t="s">
        <v>17</v>
      </c>
      <c r="I1731" s="3" t="s">
        <v>41</v>
      </c>
      <c r="J1731" s="3" t="s">
        <v>19</v>
      </c>
      <c r="K1731" s="3"/>
    </row>
    <row r="1732" spans="1:11" ht="43.2" x14ac:dyDescent="0.3">
      <c r="A1732" s="3" t="s">
        <v>3637</v>
      </c>
      <c r="B1732" s="3" t="str">
        <f>"043215058"</f>
        <v>043215058</v>
      </c>
      <c r="C1732" s="3" t="s">
        <v>3638</v>
      </c>
      <c r="D1732" s="3" t="s">
        <v>3639</v>
      </c>
      <c r="E1732" s="3" t="s">
        <v>16</v>
      </c>
      <c r="F1732" s="2">
        <v>43718</v>
      </c>
      <c r="G1732" s="2">
        <v>44227</v>
      </c>
      <c r="H1732" s="2743" t="s">
        <v>17</v>
      </c>
      <c r="I1732" s="3" t="s">
        <v>41</v>
      </c>
      <c r="J1732" s="3" t="s">
        <v>19</v>
      </c>
      <c r="K1732" s="3"/>
    </row>
    <row r="1733" spans="1:11" ht="43.2" x14ac:dyDescent="0.3">
      <c r="A1733" s="3" t="s">
        <v>3640</v>
      </c>
      <c r="B1733" s="3" t="str">
        <f>"043129105"</f>
        <v>043129105</v>
      </c>
      <c r="C1733" s="3" t="s">
        <v>3638</v>
      </c>
      <c r="D1733" s="3" t="s">
        <v>3641</v>
      </c>
      <c r="E1733" s="3" t="s">
        <v>27</v>
      </c>
      <c r="F1733" s="2">
        <v>44237</v>
      </c>
      <c r="G1733" s="2">
        <v>44500</v>
      </c>
      <c r="H1733" s="2744" t="s">
        <v>17</v>
      </c>
      <c r="I1733" s="3" t="s">
        <v>526</v>
      </c>
      <c r="J1733" s="3" t="s">
        <v>19</v>
      </c>
      <c r="K1733" s="3"/>
    </row>
    <row r="1734" spans="1:11" ht="144" x14ac:dyDescent="0.3">
      <c r="A1734" s="3" t="s">
        <v>3642</v>
      </c>
      <c r="B1734" s="3" t="str">
        <f>"040055016"</f>
        <v>040055016</v>
      </c>
      <c r="C1734" s="3" t="s">
        <v>3643</v>
      </c>
      <c r="D1734" s="3" t="s">
        <v>3310</v>
      </c>
      <c r="E1734" s="3" t="s">
        <v>74</v>
      </c>
      <c r="F1734" s="2">
        <v>43982</v>
      </c>
      <c r="G1734" s="2"/>
      <c r="H1734" s="2745" t="s">
        <v>17</v>
      </c>
      <c r="I1734" s="2746" t="s">
        <v>18</v>
      </c>
      <c r="J1734" s="3" t="s">
        <v>19</v>
      </c>
      <c r="K1734" s="3"/>
    </row>
    <row r="1735" spans="1:11" ht="43.2" x14ac:dyDescent="0.3">
      <c r="A1735" s="3" t="s">
        <v>3644</v>
      </c>
      <c r="B1735" s="3" t="str">
        <f>"041432030"</f>
        <v>041432030</v>
      </c>
      <c r="C1735" s="3" t="s">
        <v>3014</v>
      </c>
      <c r="D1735" s="3" t="s">
        <v>3645</v>
      </c>
      <c r="E1735" s="3" t="s">
        <v>263</v>
      </c>
      <c r="F1735" s="2">
        <v>43966</v>
      </c>
      <c r="G1735" s="2">
        <v>44319</v>
      </c>
      <c r="H1735" s="2747" t="s">
        <v>17</v>
      </c>
      <c r="I1735" s="3" t="s">
        <v>41</v>
      </c>
      <c r="J1735" s="3" t="s">
        <v>19</v>
      </c>
      <c r="K1735" s="3"/>
    </row>
    <row r="1736" spans="1:11" ht="43.2" x14ac:dyDescent="0.3">
      <c r="A1736" s="3" t="s">
        <v>3644</v>
      </c>
      <c r="B1736" s="3" t="str">
        <f>"041432093"</f>
        <v>041432093</v>
      </c>
      <c r="C1736" s="3" t="s">
        <v>3014</v>
      </c>
      <c r="D1736" s="3" t="s">
        <v>3646</v>
      </c>
      <c r="E1736" s="3" t="s">
        <v>263</v>
      </c>
      <c r="F1736" s="2">
        <v>44172</v>
      </c>
      <c r="G1736" s="2">
        <v>44378</v>
      </c>
      <c r="H1736" s="2748" t="s">
        <v>17</v>
      </c>
      <c r="I1736" s="3" t="s">
        <v>41</v>
      </c>
      <c r="J1736" s="3" t="s">
        <v>19</v>
      </c>
      <c r="K1736" s="3"/>
    </row>
    <row r="1737" spans="1:11" ht="43.2" x14ac:dyDescent="0.3">
      <c r="A1737" s="3" t="s">
        <v>3647</v>
      </c>
      <c r="B1737" s="3" t="str">
        <f>"042360040"</f>
        <v>042360040</v>
      </c>
      <c r="C1737" s="3" t="s">
        <v>3014</v>
      </c>
      <c r="D1737" s="3" t="s">
        <v>3648</v>
      </c>
      <c r="E1737" s="3" t="s">
        <v>107</v>
      </c>
      <c r="F1737" s="2">
        <v>43948</v>
      </c>
      <c r="G1737" s="2"/>
      <c r="H1737" s="2749" t="s">
        <v>17</v>
      </c>
      <c r="I1737" s="3" t="s">
        <v>41</v>
      </c>
      <c r="J1737" s="3" t="s">
        <v>19</v>
      </c>
      <c r="K1737" s="3"/>
    </row>
    <row r="1738" spans="1:11" ht="43.2" x14ac:dyDescent="0.3">
      <c r="A1738" s="3" t="s">
        <v>3647</v>
      </c>
      <c r="B1738" s="3" t="str">
        <f>"042360115"</f>
        <v>042360115</v>
      </c>
      <c r="C1738" s="3" t="s">
        <v>3014</v>
      </c>
      <c r="D1738" s="3" t="s">
        <v>3649</v>
      </c>
      <c r="E1738" s="3" t="s">
        <v>107</v>
      </c>
      <c r="F1738" s="2">
        <v>43948</v>
      </c>
      <c r="G1738" s="2"/>
      <c r="H1738" s="2750" t="s">
        <v>17</v>
      </c>
      <c r="I1738" s="3" t="s">
        <v>41</v>
      </c>
      <c r="J1738" s="3" t="s">
        <v>19</v>
      </c>
      <c r="K1738" s="3"/>
    </row>
    <row r="1739" spans="1:11" ht="43.2" x14ac:dyDescent="0.3">
      <c r="A1739" s="3" t="s">
        <v>3650</v>
      </c>
      <c r="B1739" s="3" t="str">
        <f>"039837024"</f>
        <v>039837024</v>
      </c>
      <c r="C1739" s="3" t="s">
        <v>3014</v>
      </c>
      <c r="D1739" s="3" t="s">
        <v>3651</v>
      </c>
      <c r="E1739" s="3" t="s">
        <v>99</v>
      </c>
      <c r="F1739" s="2">
        <v>44035</v>
      </c>
      <c r="G1739" s="2">
        <v>44104</v>
      </c>
      <c r="H1739" s="2751" t="s">
        <v>17</v>
      </c>
      <c r="I1739" s="3" t="s">
        <v>178</v>
      </c>
      <c r="J1739" s="3" t="s">
        <v>19</v>
      </c>
      <c r="K1739" s="3"/>
    </row>
    <row r="1740" spans="1:11" ht="43.2" x14ac:dyDescent="0.3">
      <c r="A1740" s="3" t="s">
        <v>3652</v>
      </c>
      <c r="B1740" s="3" t="str">
        <f>"035449053"</f>
        <v>035449053</v>
      </c>
      <c r="C1740" s="3" t="s">
        <v>3653</v>
      </c>
      <c r="D1740" s="3" t="s">
        <v>3654</v>
      </c>
      <c r="E1740" s="3" t="s">
        <v>56</v>
      </c>
      <c r="F1740" s="2">
        <v>43200</v>
      </c>
      <c r="G1740" s="2"/>
      <c r="H1740" s="2752" t="s">
        <v>17</v>
      </c>
      <c r="I1740" s="2753" t="s">
        <v>18</v>
      </c>
      <c r="J1740" s="3" t="s">
        <v>19</v>
      </c>
      <c r="K1740" s="3"/>
    </row>
    <row r="1741" spans="1:11" ht="43.2" x14ac:dyDescent="0.3">
      <c r="A1741" s="3" t="s">
        <v>3655</v>
      </c>
      <c r="B1741" s="3" t="str">
        <f>"038931046"</f>
        <v>038931046</v>
      </c>
      <c r="C1741" s="3" t="s">
        <v>3653</v>
      </c>
      <c r="D1741" s="3" t="s">
        <v>3656</v>
      </c>
      <c r="E1741" s="3" t="s">
        <v>64</v>
      </c>
      <c r="F1741" s="2">
        <v>44105</v>
      </c>
      <c r="G1741" s="2"/>
      <c r="H1741" s="2754" t="s">
        <v>17</v>
      </c>
      <c r="I1741" s="3" t="s">
        <v>41</v>
      </c>
      <c r="J1741" s="3" t="s">
        <v>19</v>
      </c>
      <c r="K1741" s="3"/>
    </row>
    <row r="1742" spans="1:11" ht="43.2" x14ac:dyDescent="0.3">
      <c r="A1742" s="3" t="s">
        <v>3657</v>
      </c>
      <c r="B1742" s="3" t="str">
        <f>"045411016"</f>
        <v>045411016</v>
      </c>
      <c r="C1742" s="3" t="s">
        <v>3658</v>
      </c>
      <c r="D1742" s="3" t="s">
        <v>3659</v>
      </c>
      <c r="E1742" s="3" t="s">
        <v>31</v>
      </c>
      <c r="F1742" s="2">
        <v>44197</v>
      </c>
      <c r="G1742" s="2">
        <v>44285</v>
      </c>
      <c r="H1742" s="2755" t="s">
        <v>37</v>
      </c>
      <c r="I1742" s="3" t="s">
        <v>41</v>
      </c>
      <c r="J1742" s="3" t="s">
        <v>19</v>
      </c>
      <c r="K1742" s="3"/>
    </row>
    <row r="1743" spans="1:11" ht="72" x14ac:dyDescent="0.3">
      <c r="A1743" s="3" t="s">
        <v>3660</v>
      </c>
      <c r="B1743" s="3" t="str">
        <f>"035683097"</f>
        <v>035683097</v>
      </c>
      <c r="C1743" s="3" t="s">
        <v>3661</v>
      </c>
      <c r="D1743" s="3" t="s">
        <v>3662</v>
      </c>
      <c r="E1743" s="3" t="s">
        <v>1784</v>
      </c>
      <c r="F1743" s="2">
        <v>43112</v>
      </c>
      <c r="G1743" s="2"/>
      <c r="H1743" s="2756" t="s">
        <v>17</v>
      </c>
      <c r="I1743" s="2757" t="s">
        <v>18</v>
      </c>
      <c r="J1743" s="3" t="s">
        <v>19</v>
      </c>
      <c r="K1743" s="3"/>
    </row>
    <row r="1744" spans="1:11" ht="72" x14ac:dyDescent="0.3">
      <c r="A1744" s="3" t="s">
        <v>3660</v>
      </c>
      <c r="B1744" s="3" t="str">
        <f>"035683123"</f>
        <v>035683123</v>
      </c>
      <c r="C1744" s="3" t="s">
        <v>3661</v>
      </c>
      <c r="D1744" s="3" t="s">
        <v>3663</v>
      </c>
      <c r="E1744" s="3" t="s">
        <v>1784</v>
      </c>
      <c r="F1744" s="2">
        <v>43487</v>
      </c>
      <c r="G1744" s="2"/>
      <c r="H1744" s="2758" t="s">
        <v>17</v>
      </c>
      <c r="I1744" s="2759" t="s">
        <v>18</v>
      </c>
      <c r="J1744" s="3" t="s">
        <v>19</v>
      </c>
      <c r="K1744" s="3"/>
    </row>
    <row r="1745" spans="1:11" ht="129.6" x14ac:dyDescent="0.3">
      <c r="A1745" s="3" t="s">
        <v>3664</v>
      </c>
      <c r="B1745" s="3" t="str">
        <f>"034852018"</f>
        <v>034852018</v>
      </c>
      <c r="C1745" s="3" t="s">
        <v>3665</v>
      </c>
      <c r="D1745" s="3" t="s">
        <v>3666</v>
      </c>
      <c r="E1745" s="3" t="s">
        <v>182</v>
      </c>
      <c r="F1745" s="2">
        <v>44155</v>
      </c>
      <c r="G1745" s="2"/>
      <c r="H1745" s="2760" t="s">
        <v>37</v>
      </c>
      <c r="I1745" s="2761" t="s">
        <v>18</v>
      </c>
      <c r="J1745" s="3" t="s">
        <v>156</v>
      </c>
      <c r="K1745" s="3" t="s">
        <v>2522</v>
      </c>
    </row>
    <row r="1746" spans="1:11" ht="57.6" x14ac:dyDescent="0.3">
      <c r="A1746" s="3" t="s">
        <v>3664</v>
      </c>
      <c r="B1746" s="3" t="str">
        <f>"034852160"</f>
        <v>034852160</v>
      </c>
      <c r="C1746" s="3" t="s">
        <v>3665</v>
      </c>
      <c r="D1746" s="3" t="s">
        <v>3667</v>
      </c>
      <c r="E1746" s="3" t="s">
        <v>182</v>
      </c>
      <c r="F1746" s="2">
        <v>43510</v>
      </c>
      <c r="G1746" s="2"/>
      <c r="H1746" s="2762" t="s">
        <v>37</v>
      </c>
      <c r="I1746" s="2763" t="s">
        <v>18</v>
      </c>
      <c r="J1746" s="3" t="s">
        <v>156</v>
      </c>
      <c r="K1746" s="3"/>
    </row>
    <row r="1747" spans="1:11" ht="57.6" x14ac:dyDescent="0.3">
      <c r="A1747" s="3" t="s">
        <v>3664</v>
      </c>
      <c r="B1747" s="3" t="str">
        <f>"034852069"</f>
        <v>034852069</v>
      </c>
      <c r="C1747" s="3" t="s">
        <v>3665</v>
      </c>
      <c r="D1747" s="3" t="s">
        <v>3668</v>
      </c>
      <c r="E1747" s="3" t="s">
        <v>182</v>
      </c>
      <c r="F1747" s="2">
        <v>43032</v>
      </c>
      <c r="G1747" s="2"/>
      <c r="H1747" s="2764" t="s">
        <v>37</v>
      </c>
      <c r="I1747" s="2765" t="s">
        <v>18</v>
      </c>
      <c r="J1747" s="3" t="s">
        <v>156</v>
      </c>
      <c r="K1747" s="3"/>
    </row>
    <row r="1748" spans="1:11" ht="57.6" x14ac:dyDescent="0.3">
      <c r="A1748" s="3" t="s">
        <v>3664</v>
      </c>
      <c r="B1748" s="3" t="str">
        <f>"034852119"</f>
        <v>034852119</v>
      </c>
      <c r="C1748" s="3" t="s">
        <v>3665</v>
      </c>
      <c r="D1748" s="3" t="s">
        <v>3669</v>
      </c>
      <c r="E1748" s="3" t="s">
        <v>182</v>
      </c>
      <c r="F1748" s="2">
        <v>43308</v>
      </c>
      <c r="G1748" s="2"/>
      <c r="H1748" s="2766" t="s">
        <v>37</v>
      </c>
      <c r="I1748" s="2767" t="s">
        <v>18</v>
      </c>
      <c r="J1748" s="3" t="s">
        <v>156</v>
      </c>
      <c r="K1748" s="3"/>
    </row>
    <row r="1749" spans="1:11" ht="57.6" x14ac:dyDescent="0.3">
      <c r="A1749" s="3" t="s">
        <v>3664</v>
      </c>
      <c r="B1749" s="3" t="str">
        <f>"034852210"</f>
        <v>034852210</v>
      </c>
      <c r="C1749" s="3" t="s">
        <v>3665</v>
      </c>
      <c r="D1749" s="3" t="s">
        <v>3670</v>
      </c>
      <c r="E1749" s="3" t="s">
        <v>182</v>
      </c>
      <c r="F1749" s="2">
        <v>43411</v>
      </c>
      <c r="G1749" s="2"/>
      <c r="H1749" s="2768" t="s">
        <v>37</v>
      </c>
      <c r="I1749" s="2769" t="s">
        <v>18</v>
      </c>
      <c r="J1749" s="3" t="s">
        <v>156</v>
      </c>
      <c r="K1749" s="3"/>
    </row>
    <row r="1750" spans="1:11" ht="86.4" x14ac:dyDescent="0.3">
      <c r="A1750" s="3" t="s">
        <v>3664</v>
      </c>
      <c r="B1750" s="3" t="str">
        <f>"034852350"</f>
        <v>034852350</v>
      </c>
      <c r="C1750" s="3" t="s">
        <v>3665</v>
      </c>
      <c r="D1750" s="3" t="s">
        <v>3671</v>
      </c>
      <c r="E1750" s="3" t="s">
        <v>182</v>
      </c>
      <c r="F1750" s="2">
        <v>42937</v>
      </c>
      <c r="G1750" s="2"/>
      <c r="H1750" s="2770" t="s">
        <v>37</v>
      </c>
      <c r="I1750" s="2771" t="s">
        <v>18</v>
      </c>
      <c r="J1750" s="3" t="s">
        <v>156</v>
      </c>
      <c r="K1750" s="3"/>
    </row>
    <row r="1751" spans="1:11" ht="86.4" x14ac:dyDescent="0.3">
      <c r="A1751" s="3" t="s">
        <v>3664</v>
      </c>
      <c r="B1751" s="3" t="str">
        <f>"034852436"</f>
        <v>034852436</v>
      </c>
      <c r="C1751" s="3" t="s">
        <v>3665</v>
      </c>
      <c r="D1751" s="3" t="s">
        <v>3672</v>
      </c>
      <c r="E1751" s="3" t="s">
        <v>182</v>
      </c>
      <c r="F1751" s="2">
        <v>42937</v>
      </c>
      <c r="G1751" s="2"/>
      <c r="H1751" s="2772" t="s">
        <v>37</v>
      </c>
      <c r="I1751" s="2773" t="s">
        <v>18</v>
      </c>
      <c r="J1751" s="3" t="s">
        <v>156</v>
      </c>
      <c r="K1751" s="3"/>
    </row>
    <row r="1752" spans="1:11" ht="86.4" x14ac:dyDescent="0.3">
      <c r="A1752" s="3" t="s">
        <v>3664</v>
      </c>
      <c r="B1752" s="3" t="str">
        <f>"034852475"</f>
        <v>034852475</v>
      </c>
      <c r="C1752" s="3" t="s">
        <v>3665</v>
      </c>
      <c r="D1752" s="3" t="s">
        <v>3673</v>
      </c>
      <c r="E1752" s="3" t="s">
        <v>182</v>
      </c>
      <c r="F1752" s="2">
        <v>43364</v>
      </c>
      <c r="G1752" s="2"/>
      <c r="H1752" s="2774" t="s">
        <v>37</v>
      </c>
      <c r="I1752" s="2775" t="s">
        <v>18</v>
      </c>
      <c r="J1752" s="3" t="s">
        <v>156</v>
      </c>
      <c r="K1752" s="3"/>
    </row>
    <row r="1753" spans="1:11" ht="72" x14ac:dyDescent="0.3">
      <c r="A1753" s="3" t="s">
        <v>3674</v>
      </c>
      <c r="B1753" s="3" t="str">
        <f>"044927010"</f>
        <v>044927010</v>
      </c>
      <c r="C1753" s="3" t="s">
        <v>3675</v>
      </c>
      <c r="D1753" s="3" t="s">
        <v>3676</v>
      </c>
      <c r="E1753" s="3" t="s">
        <v>2439</v>
      </c>
      <c r="F1753" s="2">
        <v>43392</v>
      </c>
      <c r="G1753" s="2"/>
      <c r="H1753" s="2776" t="s">
        <v>17</v>
      </c>
      <c r="I1753" s="2777" t="s">
        <v>32</v>
      </c>
      <c r="J1753" s="3" t="s">
        <v>19</v>
      </c>
      <c r="K1753" s="3"/>
    </row>
    <row r="1754" spans="1:11" ht="72" x14ac:dyDescent="0.3">
      <c r="A1754" s="3" t="s">
        <v>3674</v>
      </c>
      <c r="B1754" s="3" t="str">
        <f>"044927022"</f>
        <v>044927022</v>
      </c>
      <c r="C1754" s="3" t="s">
        <v>3675</v>
      </c>
      <c r="D1754" s="3" t="s">
        <v>3677</v>
      </c>
      <c r="E1754" s="3" t="s">
        <v>2439</v>
      </c>
      <c r="F1754" s="2">
        <v>43392</v>
      </c>
      <c r="G1754" s="2"/>
      <c r="H1754" s="2778" t="s">
        <v>17</v>
      </c>
      <c r="I1754" s="2779" t="s">
        <v>32</v>
      </c>
      <c r="J1754" s="3" t="s">
        <v>19</v>
      </c>
      <c r="K1754" s="3"/>
    </row>
    <row r="1755" spans="1:11" ht="43.2" x14ac:dyDescent="0.3">
      <c r="A1755" s="3" t="s">
        <v>3678</v>
      </c>
      <c r="B1755" s="3" t="str">
        <f>"035719020"</f>
        <v>035719020</v>
      </c>
      <c r="C1755" s="3" t="s">
        <v>1441</v>
      </c>
      <c r="D1755" s="3" t="s">
        <v>3679</v>
      </c>
      <c r="E1755" s="3" t="s">
        <v>850</v>
      </c>
      <c r="F1755" s="2">
        <v>44196</v>
      </c>
      <c r="G1755" s="2">
        <v>44254</v>
      </c>
      <c r="H1755" s="2780" t="s">
        <v>37</v>
      </c>
      <c r="I1755" s="2781" t="s">
        <v>32</v>
      </c>
      <c r="J1755" s="3" t="s">
        <v>19</v>
      </c>
      <c r="K1755" s="3"/>
    </row>
    <row r="1756" spans="1:11" ht="43.2" x14ac:dyDescent="0.3">
      <c r="A1756" s="3" t="s">
        <v>3680</v>
      </c>
      <c r="B1756" s="3" t="str">
        <f>"020711065"</f>
        <v>020711065</v>
      </c>
      <c r="C1756" s="3" t="s">
        <v>3681</v>
      </c>
      <c r="D1756" s="3" t="s">
        <v>3682</v>
      </c>
      <c r="E1756" s="3" t="s">
        <v>3683</v>
      </c>
      <c r="F1756" s="2">
        <v>43539</v>
      </c>
      <c r="G1756" s="2"/>
      <c r="H1756" s="2782" t="s">
        <v>37</v>
      </c>
      <c r="I1756" s="3" t="s">
        <v>41</v>
      </c>
      <c r="J1756" s="3" t="s">
        <v>240</v>
      </c>
      <c r="K1756" s="3"/>
    </row>
    <row r="1757" spans="1:11" ht="57.6" x14ac:dyDescent="0.3">
      <c r="A1757" s="3" t="s">
        <v>3684</v>
      </c>
      <c r="B1757" s="3" t="str">
        <f>"027625019"</f>
        <v>027625019</v>
      </c>
      <c r="C1757" s="3" t="s">
        <v>3685</v>
      </c>
      <c r="D1757" s="3" t="s">
        <v>3686</v>
      </c>
      <c r="E1757" s="3" t="s">
        <v>161</v>
      </c>
      <c r="F1757" s="2">
        <v>44197</v>
      </c>
      <c r="G1757" s="2">
        <v>44316</v>
      </c>
      <c r="H1757" s="2783" t="s">
        <v>37</v>
      </c>
      <c r="I1757" s="3" t="s">
        <v>41</v>
      </c>
      <c r="J1757" s="3" t="s">
        <v>156</v>
      </c>
      <c r="K1757" s="3"/>
    </row>
    <row r="1758" spans="1:11" ht="129.6" x14ac:dyDescent="0.3">
      <c r="A1758" s="3" t="s">
        <v>3687</v>
      </c>
      <c r="B1758" s="3" t="str">
        <f>"034126084"</f>
        <v>034126084</v>
      </c>
      <c r="C1758" s="3" t="s">
        <v>3688</v>
      </c>
      <c r="D1758" s="3" t="s">
        <v>3689</v>
      </c>
      <c r="E1758" s="3" t="s">
        <v>3690</v>
      </c>
      <c r="F1758" s="2">
        <v>43617</v>
      </c>
      <c r="G1758" s="2"/>
      <c r="H1758" s="2784" t="s">
        <v>37</v>
      </c>
      <c r="I1758" s="2785" t="s">
        <v>18</v>
      </c>
      <c r="J1758" s="3" t="s">
        <v>156</v>
      </c>
      <c r="K1758" s="3"/>
    </row>
    <row r="1759" spans="1:11" ht="43.2" x14ac:dyDescent="0.3">
      <c r="A1759" s="3" t="s">
        <v>3691</v>
      </c>
      <c r="B1759" s="3" t="str">
        <f>"036302026"</f>
        <v>036302026</v>
      </c>
      <c r="C1759" s="3" t="s">
        <v>1193</v>
      </c>
      <c r="D1759" s="3" t="s">
        <v>1194</v>
      </c>
      <c r="E1759" s="3" t="s">
        <v>1044</v>
      </c>
      <c r="F1759" s="2">
        <v>43227</v>
      </c>
      <c r="G1759" s="2"/>
      <c r="H1759" s="2786" t="s">
        <v>17</v>
      </c>
      <c r="I1759" s="2787" t="s">
        <v>32</v>
      </c>
      <c r="J1759" s="3" t="s">
        <v>19</v>
      </c>
      <c r="K1759" s="3"/>
    </row>
    <row r="1760" spans="1:11" ht="43.2" x14ac:dyDescent="0.3">
      <c r="A1760" s="3" t="s">
        <v>3692</v>
      </c>
      <c r="B1760" s="3" t="str">
        <f>"035475019"</f>
        <v>035475019</v>
      </c>
      <c r="C1760" s="3" t="s">
        <v>3014</v>
      </c>
      <c r="D1760" s="3" t="s">
        <v>3693</v>
      </c>
      <c r="E1760" s="3" t="s">
        <v>2625</v>
      </c>
      <c r="F1760" s="2">
        <v>44287</v>
      </c>
      <c r="G1760" s="2"/>
      <c r="H1760" s="2788" t="s">
        <v>17</v>
      </c>
      <c r="I1760" s="2789" t="s">
        <v>18</v>
      </c>
      <c r="J1760" s="3" t="s">
        <v>19</v>
      </c>
      <c r="K1760" s="3"/>
    </row>
    <row r="1761" spans="1:11" ht="43.2" x14ac:dyDescent="0.3">
      <c r="A1761" s="3" t="s">
        <v>3692</v>
      </c>
      <c r="B1761" s="3" t="str">
        <f>"035475021"</f>
        <v>035475021</v>
      </c>
      <c r="C1761" s="3" t="s">
        <v>3014</v>
      </c>
      <c r="D1761" s="3" t="s">
        <v>3694</v>
      </c>
      <c r="E1761" s="3" t="s">
        <v>2625</v>
      </c>
      <c r="F1761" s="2">
        <v>44287</v>
      </c>
      <c r="G1761" s="2"/>
      <c r="H1761" s="2790" t="s">
        <v>17</v>
      </c>
      <c r="I1761" s="2791" t="s">
        <v>18</v>
      </c>
      <c r="J1761" s="3" t="s">
        <v>19</v>
      </c>
      <c r="K1761" s="3"/>
    </row>
    <row r="1762" spans="1:11" ht="57.6" x14ac:dyDescent="0.3">
      <c r="A1762" s="3" t="s">
        <v>3692</v>
      </c>
      <c r="B1762" s="3" t="str">
        <f>"035475033"</f>
        <v>035475033</v>
      </c>
      <c r="C1762" s="3" t="s">
        <v>3014</v>
      </c>
      <c r="D1762" s="3" t="s">
        <v>3695</v>
      </c>
      <c r="E1762" s="3" t="s">
        <v>2625</v>
      </c>
      <c r="F1762" s="2">
        <v>41474</v>
      </c>
      <c r="G1762" s="2"/>
      <c r="H1762" s="2792" t="s">
        <v>17</v>
      </c>
      <c r="I1762" s="2793" t="s">
        <v>18</v>
      </c>
      <c r="J1762" s="3" t="s">
        <v>19</v>
      </c>
      <c r="K1762" s="3"/>
    </row>
    <row r="1763" spans="1:11" ht="43.2" x14ac:dyDescent="0.3">
      <c r="A1763" s="3" t="s">
        <v>3696</v>
      </c>
      <c r="B1763" s="3" t="str">
        <f>"034504023"</f>
        <v>034504023</v>
      </c>
      <c r="C1763" s="3" t="s">
        <v>996</v>
      </c>
      <c r="D1763" s="3" t="s">
        <v>3697</v>
      </c>
      <c r="E1763" s="3" t="s">
        <v>1044</v>
      </c>
      <c r="F1763" s="2">
        <v>43227</v>
      </c>
      <c r="G1763" s="2"/>
      <c r="H1763" s="2794" t="s">
        <v>17</v>
      </c>
      <c r="I1763" s="2795" t="s">
        <v>32</v>
      </c>
      <c r="J1763" s="3" t="s">
        <v>19</v>
      </c>
      <c r="K1763" s="3"/>
    </row>
    <row r="1764" spans="1:11" ht="43.2" x14ac:dyDescent="0.3">
      <c r="A1764" s="3" t="s">
        <v>3698</v>
      </c>
      <c r="B1764" s="3" t="str">
        <f>"017616018"</f>
        <v>017616018</v>
      </c>
      <c r="C1764" s="3" t="s">
        <v>3699</v>
      </c>
      <c r="D1764" s="3" t="s">
        <v>3700</v>
      </c>
      <c r="E1764" s="3" t="s">
        <v>425</v>
      </c>
      <c r="F1764" s="2">
        <v>44013</v>
      </c>
      <c r="G1764" s="2">
        <v>44134</v>
      </c>
      <c r="H1764" s="2796" t="s">
        <v>37</v>
      </c>
      <c r="I1764" s="3" t="s">
        <v>41</v>
      </c>
      <c r="J1764" s="3" t="s">
        <v>19</v>
      </c>
      <c r="K1764" s="3"/>
    </row>
    <row r="1765" spans="1:11" ht="43.2" x14ac:dyDescent="0.3">
      <c r="A1765" s="3" t="s">
        <v>3701</v>
      </c>
      <c r="B1765" s="3" t="str">
        <f>"038627016"</f>
        <v>038627016</v>
      </c>
      <c r="C1765" s="3" t="s">
        <v>3365</v>
      </c>
      <c r="D1765" s="3" t="s">
        <v>3702</v>
      </c>
      <c r="E1765" s="3" t="s">
        <v>1044</v>
      </c>
      <c r="F1765" s="2">
        <v>43983</v>
      </c>
      <c r="G1765" s="2"/>
      <c r="H1765" s="2797" t="s">
        <v>17</v>
      </c>
      <c r="I1765" s="2798" t="s">
        <v>32</v>
      </c>
      <c r="J1765" s="3" t="s">
        <v>19</v>
      </c>
      <c r="K1765" s="3"/>
    </row>
    <row r="1766" spans="1:11" ht="43.2" x14ac:dyDescent="0.3">
      <c r="A1766" s="3" t="s">
        <v>3701</v>
      </c>
      <c r="B1766" s="3" t="str">
        <f>"038627028"</f>
        <v>038627028</v>
      </c>
      <c r="C1766" s="3" t="s">
        <v>3365</v>
      </c>
      <c r="D1766" s="3" t="s">
        <v>3703</v>
      </c>
      <c r="E1766" s="3" t="s">
        <v>1044</v>
      </c>
      <c r="F1766" s="2">
        <v>43227</v>
      </c>
      <c r="G1766" s="2"/>
      <c r="H1766" s="2799" t="s">
        <v>17</v>
      </c>
      <c r="I1766" s="2800" t="s">
        <v>32</v>
      </c>
      <c r="J1766" s="3" t="s">
        <v>19</v>
      </c>
      <c r="K1766" s="3"/>
    </row>
    <row r="1767" spans="1:11" ht="43.2" x14ac:dyDescent="0.3">
      <c r="A1767" s="3" t="s">
        <v>3704</v>
      </c>
      <c r="B1767" s="3" t="str">
        <f>"044449015"</f>
        <v>044449015</v>
      </c>
      <c r="C1767" s="3"/>
      <c r="D1767" s="3" t="s">
        <v>3705</v>
      </c>
      <c r="E1767" s="3" t="s">
        <v>27</v>
      </c>
      <c r="F1767" s="2">
        <v>43924</v>
      </c>
      <c r="G1767" s="2">
        <v>44074</v>
      </c>
      <c r="H1767" s="2801" t="s">
        <v>17</v>
      </c>
      <c r="I1767" s="3" t="s">
        <v>104</v>
      </c>
      <c r="J1767" s="3" t="s">
        <v>19</v>
      </c>
      <c r="K1767" s="3"/>
    </row>
    <row r="1768" spans="1:11" ht="43.2" x14ac:dyDescent="0.3">
      <c r="A1768" s="3" t="s">
        <v>3706</v>
      </c>
      <c r="B1768" s="3" t="str">
        <f>"038523078"</f>
        <v>038523078</v>
      </c>
      <c r="C1768" s="3" t="s">
        <v>3707</v>
      </c>
      <c r="D1768" s="3" t="s">
        <v>3708</v>
      </c>
      <c r="E1768" s="3" t="s">
        <v>64</v>
      </c>
      <c r="F1768" s="2">
        <v>44044</v>
      </c>
      <c r="G1768" s="2"/>
      <c r="H1768" s="2802" t="s">
        <v>17</v>
      </c>
      <c r="I1768" s="3" t="s">
        <v>41</v>
      </c>
      <c r="J1768" s="3" t="s">
        <v>19</v>
      </c>
      <c r="K1768" s="3"/>
    </row>
    <row r="1769" spans="1:11" ht="43.2" x14ac:dyDescent="0.3">
      <c r="A1769" s="3" t="s">
        <v>3709</v>
      </c>
      <c r="B1769" s="3" t="str">
        <f>"016521039"</f>
        <v>016521039</v>
      </c>
      <c r="C1769" s="3" t="s">
        <v>3710</v>
      </c>
      <c r="D1769" s="3" t="s">
        <v>3711</v>
      </c>
      <c r="E1769" s="3" t="s">
        <v>198</v>
      </c>
      <c r="F1769" s="2">
        <v>44119</v>
      </c>
      <c r="G1769" s="2">
        <v>44165</v>
      </c>
      <c r="H1769" s="2803" t="s">
        <v>17</v>
      </c>
      <c r="I1769" s="3" t="s">
        <v>178</v>
      </c>
      <c r="J1769" s="3" t="s">
        <v>19</v>
      </c>
      <c r="K1769" s="3"/>
    </row>
    <row r="1770" spans="1:11" ht="43.2" x14ac:dyDescent="0.3">
      <c r="A1770" s="3" t="s">
        <v>3709</v>
      </c>
      <c r="B1770" s="3" t="str">
        <f>"016521054"</f>
        <v>016521054</v>
      </c>
      <c r="C1770" s="3" t="s">
        <v>3710</v>
      </c>
      <c r="D1770" s="3" t="s">
        <v>3712</v>
      </c>
      <c r="E1770" s="3" t="s">
        <v>198</v>
      </c>
      <c r="F1770" s="2">
        <v>43903</v>
      </c>
      <c r="G1770" s="2"/>
      <c r="H1770" s="2804" t="s">
        <v>37</v>
      </c>
      <c r="I1770" s="2805" t="s">
        <v>18</v>
      </c>
      <c r="J1770" s="3" t="s">
        <v>19</v>
      </c>
      <c r="K1770" s="3"/>
    </row>
    <row r="1771" spans="1:11" ht="43.2" x14ac:dyDescent="0.3">
      <c r="A1771" s="3" t="s">
        <v>3713</v>
      </c>
      <c r="B1771" s="3" t="str">
        <f>"036914012"</f>
        <v>036914012</v>
      </c>
      <c r="C1771" s="3" t="s">
        <v>3714</v>
      </c>
      <c r="D1771" s="3" t="s">
        <v>3715</v>
      </c>
      <c r="E1771" s="3" t="s">
        <v>1802</v>
      </c>
      <c r="F1771" s="2">
        <v>43801</v>
      </c>
      <c r="G1771" s="2"/>
      <c r="H1771" s="2806" t="s">
        <v>17</v>
      </c>
      <c r="I1771" s="3" t="s">
        <v>41</v>
      </c>
      <c r="J1771" s="3" t="s">
        <v>19</v>
      </c>
      <c r="K1771" s="3"/>
    </row>
    <row r="1772" spans="1:11" ht="43.2" x14ac:dyDescent="0.3">
      <c r="A1772" s="3" t="s">
        <v>3716</v>
      </c>
      <c r="B1772" s="3" t="str">
        <f>"023603158"</f>
        <v>023603158</v>
      </c>
      <c r="C1772" s="3" t="s">
        <v>1607</v>
      </c>
      <c r="D1772" s="3" t="s">
        <v>3717</v>
      </c>
      <c r="E1772" s="3" t="s">
        <v>3224</v>
      </c>
      <c r="F1772" s="2">
        <v>44012</v>
      </c>
      <c r="G1772" s="2"/>
      <c r="H1772" s="2807" t="s">
        <v>37</v>
      </c>
      <c r="I1772" s="2808" t="s">
        <v>18</v>
      </c>
      <c r="J1772" s="3" t="s">
        <v>19</v>
      </c>
      <c r="K1772" s="3"/>
    </row>
    <row r="1773" spans="1:11" ht="43.2" x14ac:dyDescent="0.3">
      <c r="A1773" s="3" t="s">
        <v>3718</v>
      </c>
      <c r="B1773" s="3" t="str">
        <f>"025036029"</f>
        <v>025036029</v>
      </c>
      <c r="C1773" s="3" t="s">
        <v>3719</v>
      </c>
      <c r="D1773" s="3" t="s">
        <v>3720</v>
      </c>
      <c r="E1773" s="3" t="s">
        <v>3224</v>
      </c>
      <c r="F1773" s="2">
        <v>44078</v>
      </c>
      <c r="G1773" s="2">
        <v>44165</v>
      </c>
      <c r="H1773" s="2809" t="s">
        <v>37</v>
      </c>
      <c r="I1773" s="3" t="s">
        <v>41</v>
      </c>
      <c r="J1773" s="3" t="s">
        <v>19</v>
      </c>
      <c r="K1773" s="3"/>
    </row>
    <row r="1774" spans="1:11" ht="43.2" x14ac:dyDescent="0.3">
      <c r="A1774" s="3" t="s">
        <v>3721</v>
      </c>
      <c r="B1774" s="3" t="str">
        <f>"040411023"</f>
        <v>040411023</v>
      </c>
      <c r="C1774" s="3" t="s">
        <v>3014</v>
      </c>
      <c r="D1774" s="3" t="s">
        <v>3722</v>
      </c>
      <c r="E1774" s="3" t="s">
        <v>16</v>
      </c>
      <c r="F1774" s="2">
        <v>44012</v>
      </c>
      <c r="G1774" s="2"/>
      <c r="H1774" s="2810" t="s">
        <v>17</v>
      </c>
      <c r="I1774" s="2811" t="s">
        <v>18</v>
      </c>
      <c r="J1774" s="3" t="s">
        <v>19</v>
      </c>
      <c r="K1774" s="3"/>
    </row>
    <row r="1775" spans="1:11" ht="43.2" x14ac:dyDescent="0.3">
      <c r="A1775" s="3" t="s">
        <v>3723</v>
      </c>
      <c r="B1775" s="3" t="str">
        <f>"000248031"</f>
        <v>000248031</v>
      </c>
      <c r="C1775" s="3" t="s">
        <v>1574</v>
      </c>
      <c r="D1775" s="3" t="s">
        <v>3724</v>
      </c>
      <c r="E1775" s="3" t="s">
        <v>600</v>
      </c>
      <c r="F1775" s="2">
        <v>44027</v>
      </c>
      <c r="G1775" s="2"/>
      <c r="H1775" s="2812" t="s">
        <v>37</v>
      </c>
      <c r="I1775" s="2813" t="s">
        <v>18</v>
      </c>
      <c r="J1775" s="3" t="s">
        <v>19</v>
      </c>
      <c r="K1775" s="3"/>
    </row>
    <row r="1776" spans="1:11" ht="43.2" x14ac:dyDescent="0.3">
      <c r="A1776" s="3" t="s">
        <v>3725</v>
      </c>
      <c r="B1776" s="3" t="str">
        <f>"040436141"</f>
        <v>040436141</v>
      </c>
      <c r="C1776" s="3" t="s">
        <v>3726</v>
      </c>
      <c r="D1776" s="3" t="s">
        <v>3727</v>
      </c>
      <c r="E1776" s="3" t="s">
        <v>83</v>
      </c>
      <c r="F1776" s="2">
        <v>44137</v>
      </c>
      <c r="G1776" s="2"/>
      <c r="H1776" s="2814" t="s">
        <v>17</v>
      </c>
      <c r="I1776" s="3" t="s">
        <v>41</v>
      </c>
      <c r="J1776" s="3" t="s">
        <v>19</v>
      </c>
      <c r="K1776" s="3"/>
    </row>
    <row r="1777" spans="1:11" ht="43.2" x14ac:dyDescent="0.3">
      <c r="A1777" s="3" t="s">
        <v>3728</v>
      </c>
      <c r="B1777" s="3" t="str">
        <f>"040476032"</f>
        <v>040476032</v>
      </c>
      <c r="C1777" s="3" t="s">
        <v>3726</v>
      </c>
      <c r="D1777" s="3" t="s">
        <v>525</v>
      </c>
      <c r="E1777" s="3" t="s">
        <v>56</v>
      </c>
      <c r="F1777" s="2">
        <v>44216</v>
      </c>
      <c r="G1777" s="2">
        <v>44561</v>
      </c>
      <c r="H1777" s="2815" t="s">
        <v>17</v>
      </c>
      <c r="I1777" s="3" t="s">
        <v>41</v>
      </c>
      <c r="J1777" s="3" t="s">
        <v>19</v>
      </c>
      <c r="K1777" s="3"/>
    </row>
    <row r="1778" spans="1:11" ht="43.2" x14ac:dyDescent="0.3">
      <c r="A1778" s="3" t="s">
        <v>3728</v>
      </c>
      <c r="B1778" s="3" t="str">
        <f>"040476121"</f>
        <v>040476121</v>
      </c>
      <c r="C1778" s="3" t="s">
        <v>3726</v>
      </c>
      <c r="D1778" s="3" t="s">
        <v>3729</v>
      </c>
      <c r="E1778" s="3" t="s">
        <v>56</v>
      </c>
      <c r="F1778" s="2">
        <v>44216</v>
      </c>
      <c r="G1778" s="2">
        <v>44561</v>
      </c>
      <c r="H1778" s="2816" t="s">
        <v>17</v>
      </c>
      <c r="I1778" s="3" t="s">
        <v>41</v>
      </c>
      <c r="J1778" s="3" t="s">
        <v>19</v>
      </c>
      <c r="K1778" s="3"/>
    </row>
    <row r="1779" spans="1:11" ht="57.6" x14ac:dyDescent="0.3">
      <c r="A1779" s="3" t="s">
        <v>3730</v>
      </c>
      <c r="B1779" s="3" t="str">
        <f>"029221013"</f>
        <v>029221013</v>
      </c>
      <c r="C1779" s="3" t="s">
        <v>3731</v>
      </c>
      <c r="D1779" s="3" t="s">
        <v>3732</v>
      </c>
      <c r="E1779" s="3" t="s">
        <v>27</v>
      </c>
      <c r="F1779" s="2">
        <v>43497</v>
      </c>
      <c r="G1779" s="2"/>
      <c r="H1779" s="2817" t="s">
        <v>17</v>
      </c>
      <c r="I1779" s="2818" t="s">
        <v>18</v>
      </c>
      <c r="J1779" s="3" t="s">
        <v>156</v>
      </c>
      <c r="K1779" s="3"/>
    </row>
    <row r="1780" spans="1:11" ht="57.6" x14ac:dyDescent="0.3">
      <c r="A1780" s="3" t="s">
        <v>3730</v>
      </c>
      <c r="B1780" s="3" t="str">
        <f>"029221025"</f>
        <v>029221025</v>
      </c>
      <c r="C1780" s="3" t="s">
        <v>3731</v>
      </c>
      <c r="D1780" s="3" t="s">
        <v>3733</v>
      </c>
      <c r="E1780" s="3" t="s">
        <v>27</v>
      </c>
      <c r="F1780" s="2">
        <v>43497</v>
      </c>
      <c r="G1780" s="2"/>
      <c r="H1780" s="2819" t="s">
        <v>17</v>
      </c>
      <c r="I1780" s="2820" t="s">
        <v>18</v>
      </c>
      <c r="J1780" s="3" t="s">
        <v>156</v>
      </c>
      <c r="K1780" s="3"/>
    </row>
    <row r="1781" spans="1:11" ht="57.6" x14ac:dyDescent="0.3">
      <c r="A1781" s="3" t="s">
        <v>3734</v>
      </c>
      <c r="B1781" s="3" t="str">
        <f>"039786037"</f>
        <v>039786037</v>
      </c>
      <c r="C1781" s="3" t="s">
        <v>3735</v>
      </c>
      <c r="D1781" s="3" t="s">
        <v>3736</v>
      </c>
      <c r="E1781" s="3" t="s">
        <v>83</v>
      </c>
      <c r="F1781" s="2">
        <v>43340</v>
      </c>
      <c r="G1781" s="2"/>
      <c r="H1781" s="2821" t="s">
        <v>17</v>
      </c>
      <c r="I1781" s="2822" t="s">
        <v>18</v>
      </c>
      <c r="J1781" s="3" t="s">
        <v>19</v>
      </c>
      <c r="K1781" s="3"/>
    </row>
    <row r="1782" spans="1:11" ht="57.6" x14ac:dyDescent="0.3">
      <c r="A1782" s="3" t="s">
        <v>3737</v>
      </c>
      <c r="B1782" s="3" t="str">
        <f>"038476038"</f>
        <v>038476038</v>
      </c>
      <c r="C1782" s="3" t="s">
        <v>2396</v>
      </c>
      <c r="D1782" s="3" t="s">
        <v>3738</v>
      </c>
      <c r="E1782" s="3" t="s">
        <v>119</v>
      </c>
      <c r="F1782" s="2">
        <v>42794</v>
      </c>
      <c r="G1782" s="2"/>
      <c r="H1782" s="2823" t="s">
        <v>17</v>
      </c>
      <c r="I1782" s="3" t="s">
        <v>41</v>
      </c>
      <c r="J1782" s="3" t="s">
        <v>156</v>
      </c>
      <c r="K1782" s="3"/>
    </row>
    <row r="1783" spans="1:11" ht="57.6" x14ac:dyDescent="0.3">
      <c r="A1783" s="3" t="s">
        <v>3737</v>
      </c>
      <c r="B1783" s="3" t="str">
        <f>"038476040"</f>
        <v>038476040</v>
      </c>
      <c r="C1783" s="3" t="s">
        <v>2396</v>
      </c>
      <c r="D1783" s="3" t="s">
        <v>3739</v>
      </c>
      <c r="E1783" s="3" t="s">
        <v>119</v>
      </c>
      <c r="F1783" s="2">
        <v>42794</v>
      </c>
      <c r="G1783" s="2"/>
      <c r="H1783" s="2824" t="s">
        <v>17</v>
      </c>
      <c r="I1783" s="3" t="s">
        <v>41</v>
      </c>
      <c r="J1783" s="3" t="s">
        <v>156</v>
      </c>
      <c r="K1783" s="3"/>
    </row>
    <row r="1784" spans="1:11" ht="57.6" x14ac:dyDescent="0.3">
      <c r="A1784" s="3" t="s">
        <v>3737</v>
      </c>
      <c r="B1784" s="3" t="str">
        <f>"038476026"</f>
        <v>038476026</v>
      </c>
      <c r="C1784" s="3" t="s">
        <v>2396</v>
      </c>
      <c r="D1784" s="3" t="s">
        <v>3740</v>
      </c>
      <c r="E1784" s="3" t="s">
        <v>119</v>
      </c>
      <c r="F1784" s="2">
        <v>42794</v>
      </c>
      <c r="G1784" s="2"/>
      <c r="H1784" s="2825" t="s">
        <v>17</v>
      </c>
      <c r="I1784" s="3" t="s">
        <v>41</v>
      </c>
      <c r="J1784" s="3" t="s">
        <v>156</v>
      </c>
      <c r="K1784" s="3"/>
    </row>
    <row r="1785" spans="1:11" ht="57.6" x14ac:dyDescent="0.3">
      <c r="A1785" s="3" t="s">
        <v>3737</v>
      </c>
      <c r="B1785" s="3" t="str">
        <f>"038476014"</f>
        <v>038476014</v>
      </c>
      <c r="C1785" s="3" t="s">
        <v>2396</v>
      </c>
      <c r="D1785" s="3" t="s">
        <v>3741</v>
      </c>
      <c r="E1785" s="3" t="s">
        <v>119</v>
      </c>
      <c r="F1785" s="2">
        <v>42794</v>
      </c>
      <c r="G1785" s="2"/>
      <c r="H1785" s="2826" t="s">
        <v>17</v>
      </c>
      <c r="I1785" s="3" t="s">
        <v>41</v>
      </c>
      <c r="J1785" s="3" t="s">
        <v>156</v>
      </c>
      <c r="K1785" s="3"/>
    </row>
    <row r="1786" spans="1:11" ht="57.6" x14ac:dyDescent="0.3">
      <c r="A1786" s="3" t="s">
        <v>3742</v>
      </c>
      <c r="B1786" s="3" t="str">
        <f>"037668035"</f>
        <v>037668035</v>
      </c>
      <c r="C1786" s="3" t="s">
        <v>3743</v>
      </c>
      <c r="D1786" s="3" t="s">
        <v>3744</v>
      </c>
      <c r="E1786" s="3" t="s">
        <v>56</v>
      </c>
      <c r="F1786" s="2">
        <v>44112</v>
      </c>
      <c r="G1786" s="2">
        <v>44561</v>
      </c>
      <c r="H1786" s="2827" t="s">
        <v>17</v>
      </c>
      <c r="I1786" s="3" t="s">
        <v>3352</v>
      </c>
      <c r="J1786" s="3" t="s">
        <v>156</v>
      </c>
      <c r="K1786" s="3"/>
    </row>
    <row r="1787" spans="1:11" ht="57.6" x14ac:dyDescent="0.3">
      <c r="A1787" s="3" t="s">
        <v>3745</v>
      </c>
      <c r="B1787" s="3" t="str">
        <f>"038717017"</f>
        <v>038717017</v>
      </c>
      <c r="C1787" s="3" t="s">
        <v>2396</v>
      </c>
      <c r="D1787" s="3" t="s">
        <v>3746</v>
      </c>
      <c r="E1787" s="3" t="s">
        <v>107</v>
      </c>
      <c r="F1787" s="2">
        <v>43138</v>
      </c>
      <c r="G1787" s="2"/>
      <c r="H1787" s="2828" t="s">
        <v>17</v>
      </c>
      <c r="I1787" s="2829" t="s">
        <v>18</v>
      </c>
      <c r="J1787" s="3" t="s">
        <v>156</v>
      </c>
      <c r="K1787" s="3"/>
    </row>
    <row r="1788" spans="1:11" ht="57.6" x14ac:dyDescent="0.3">
      <c r="A1788" s="3" t="s">
        <v>3745</v>
      </c>
      <c r="B1788" s="3" t="str">
        <f>"038717082"</f>
        <v>038717082</v>
      </c>
      <c r="C1788" s="3" t="s">
        <v>2396</v>
      </c>
      <c r="D1788" s="3" t="s">
        <v>3747</v>
      </c>
      <c r="E1788" s="3" t="s">
        <v>107</v>
      </c>
      <c r="F1788" s="2">
        <v>43138</v>
      </c>
      <c r="G1788" s="2"/>
      <c r="H1788" s="2830" t="s">
        <v>17</v>
      </c>
      <c r="I1788" s="2831" t="s">
        <v>18</v>
      </c>
      <c r="J1788" s="3" t="s">
        <v>156</v>
      </c>
      <c r="K1788" s="3"/>
    </row>
    <row r="1789" spans="1:11" ht="57.6" x14ac:dyDescent="0.3">
      <c r="A1789" s="3" t="s">
        <v>3748</v>
      </c>
      <c r="B1789" s="3" t="str">
        <f>"033690025"</f>
        <v>033690025</v>
      </c>
      <c r="C1789" s="3" t="s">
        <v>3731</v>
      </c>
      <c r="D1789" s="3" t="s">
        <v>3749</v>
      </c>
      <c r="E1789" s="3" t="s">
        <v>24</v>
      </c>
      <c r="F1789" s="2">
        <v>43312</v>
      </c>
      <c r="G1789" s="2"/>
      <c r="H1789" s="2832" t="s">
        <v>17</v>
      </c>
      <c r="I1789" s="2833" t="s">
        <v>18</v>
      </c>
      <c r="J1789" s="3" t="s">
        <v>156</v>
      </c>
      <c r="K1789" s="3"/>
    </row>
    <row r="1790" spans="1:11" ht="43.2" x14ac:dyDescent="0.3">
      <c r="A1790" s="3" t="s">
        <v>3750</v>
      </c>
      <c r="B1790" s="3" t="str">
        <f>"033324029"</f>
        <v>033324029</v>
      </c>
      <c r="C1790" s="3" t="s">
        <v>3731</v>
      </c>
      <c r="D1790" s="3" t="s">
        <v>3751</v>
      </c>
      <c r="E1790" s="3" t="s">
        <v>107</v>
      </c>
      <c r="F1790" s="2">
        <v>43377</v>
      </c>
      <c r="G1790" s="2"/>
      <c r="H1790" s="2834" t="s">
        <v>17</v>
      </c>
      <c r="I1790" s="2835" t="s">
        <v>18</v>
      </c>
      <c r="J1790" s="3" t="s">
        <v>19</v>
      </c>
      <c r="K1790" s="3"/>
    </row>
    <row r="1791" spans="1:11" ht="57.6" x14ac:dyDescent="0.3">
      <c r="A1791" s="3" t="s">
        <v>3731</v>
      </c>
      <c r="B1791" s="3" t="str">
        <f>"033423017"</f>
        <v>033423017</v>
      </c>
      <c r="C1791" s="3" t="s">
        <v>3731</v>
      </c>
      <c r="D1791" s="3" t="s">
        <v>3752</v>
      </c>
      <c r="E1791" s="3" t="s">
        <v>401</v>
      </c>
      <c r="F1791" s="2">
        <v>42424</v>
      </c>
      <c r="G1791" s="2"/>
      <c r="H1791" s="2836" t="s">
        <v>17</v>
      </c>
      <c r="I1791" s="3" t="s">
        <v>41</v>
      </c>
      <c r="J1791" s="3" t="s">
        <v>156</v>
      </c>
      <c r="K1791" s="3"/>
    </row>
    <row r="1792" spans="1:11" ht="57.6" x14ac:dyDescent="0.3">
      <c r="A1792" s="3" t="s">
        <v>3731</v>
      </c>
      <c r="B1792" s="3" t="str">
        <f>"033423029"</f>
        <v>033423029</v>
      </c>
      <c r="C1792" s="3" t="s">
        <v>3731</v>
      </c>
      <c r="D1792" s="3" t="s">
        <v>3753</v>
      </c>
      <c r="E1792" s="3" t="s">
        <v>401</v>
      </c>
      <c r="F1792" s="2">
        <v>42424</v>
      </c>
      <c r="G1792" s="2"/>
      <c r="H1792" s="2837" t="s">
        <v>17</v>
      </c>
      <c r="I1792" s="3" t="s">
        <v>41</v>
      </c>
      <c r="J1792" s="3" t="s">
        <v>156</v>
      </c>
      <c r="K1792" s="3"/>
    </row>
    <row r="1793" spans="1:11" ht="57.6" x14ac:dyDescent="0.3">
      <c r="A1793" s="3" t="s">
        <v>3731</v>
      </c>
      <c r="B1793" s="3" t="str">
        <f>"033423031"</f>
        <v>033423031</v>
      </c>
      <c r="C1793" s="3" t="s">
        <v>3731</v>
      </c>
      <c r="D1793" s="3" t="s">
        <v>3754</v>
      </c>
      <c r="E1793" s="3" t="s">
        <v>401</v>
      </c>
      <c r="F1793" s="2">
        <v>42424</v>
      </c>
      <c r="G1793" s="2"/>
      <c r="H1793" s="2838" t="s">
        <v>17</v>
      </c>
      <c r="I1793" s="3" t="s">
        <v>41</v>
      </c>
      <c r="J1793" s="3" t="s">
        <v>156</v>
      </c>
      <c r="K1793" s="3"/>
    </row>
    <row r="1794" spans="1:11" ht="43.2" x14ac:dyDescent="0.3">
      <c r="A1794" s="3" t="s">
        <v>3755</v>
      </c>
      <c r="B1794" s="3" t="str">
        <f>"035960018"</f>
        <v>035960018</v>
      </c>
      <c r="C1794" s="3" t="s">
        <v>805</v>
      </c>
      <c r="D1794" s="3" t="s">
        <v>3756</v>
      </c>
      <c r="E1794" s="3" t="s">
        <v>126</v>
      </c>
      <c r="F1794" s="2">
        <v>43396</v>
      </c>
      <c r="G1794" s="2"/>
      <c r="H1794" s="2839" t="s">
        <v>17</v>
      </c>
      <c r="I1794" s="2840" t="s">
        <v>32</v>
      </c>
      <c r="J1794" s="3" t="s">
        <v>19</v>
      </c>
      <c r="K1794" s="3"/>
    </row>
    <row r="1795" spans="1:11" ht="43.2" x14ac:dyDescent="0.3">
      <c r="A1795" s="3" t="s">
        <v>3757</v>
      </c>
      <c r="B1795" s="3" t="str">
        <f>"035854025"</f>
        <v>035854025</v>
      </c>
      <c r="C1795" s="3" t="s">
        <v>3014</v>
      </c>
      <c r="D1795" s="3" t="s">
        <v>3758</v>
      </c>
      <c r="E1795" s="3" t="s">
        <v>1287</v>
      </c>
      <c r="F1795" s="2">
        <v>42878</v>
      </c>
      <c r="G1795" s="2"/>
      <c r="H1795" s="2841" t="s">
        <v>17</v>
      </c>
      <c r="I1795" s="2842" t="s">
        <v>18</v>
      </c>
      <c r="J1795" s="3" t="s">
        <v>19</v>
      </c>
      <c r="K1795" s="3"/>
    </row>
    <row r="1796" spans="1:11" ht="57.6" x14ac:dyDescent="0.3">
      <c r="A1796" s="3" t="s">
        <v>3759</v>
      </c>
      <c r="B1796" s="3" t="str">
        <f>"033415035"</f>
        <v>033415035</v>
      </c>
      <c r="C1796" s="3" t="s">
        <v>805</v>
      </c>
      <c r="D1796" s="3" t="s">
        <v>3760</v>
      </c>
      <c r="E1796" s="3" t="s">
        <v>518</v>
      </c>
      <c r="F1796" s="2">
        <v>43749</v>
      </c>
      <c r="G1796" s="2"/>
      <c r="H1796" s="2843" t="s">
        <v>17</v>
      </c>
      <c r="I1796" s="3" t="s">
        <v>41</v>
      </c>
      <c r="J1796" s="3" t="s">
        <v>19</v>
      </c>
      <c r="K1796" s="3"/>
    </row>
    <row r="1797" spans="1:11" ht="57.6" x14ac:dyDescent="0.3">
      <c r="A1797" s="3" t="s">
        <v>3761</v>
      </c>
      <c r="B1797" s="3" t="str">
        <f>"022501062"</f>
        <v>022501062</v>
      </c>
      <c r="C1797" s="3" t="s">
        <v>3762</v>
      </c>
      <c r="D1797" s="3" t="s">
        <v>3763</v>
      </c>
      <c r="E1797" s="3" t="s">
        <v>239</v>
      </c>
      <c r="F1797" s="2">
        <v>43312</v>
      </c>
      <c r="G1797" s="2"/>
      <c r="H1797" s="2844" t="s">
        <v>37</v>
      </c>
      <c r="I1797" s="2845" t="s">
        <v>18</v>
      </c>
      <c r="J1797" s="3" t="s">
        <v>156</v>
      </c>
      <c r="K1797" s="3"/>
    </row>
    <row r="1798" spans="1:11" ht="57.6" x14ac:dyDescent="0.3">
      <c r="A1798" s="3" t="s">
        <v>3764</v>
      </c>
      <c r="B1798" s="3" t="str">
        <f>"020766022"</f>
        <v>020766022</v>
      </c>
      <c r="C1798" s="3" t="s">
        <v>3765</v>
      </c>
      <c r="D1798" s="3" t="s">
        <v>3766</v>
      </c>
      <c r="E1798" s="3" t="s">
        <v>161</v>
      </c>
      <c r="F1798" s="2">
        <v>43969</v>
      </c>
      <c r="G1798" s="2">
        <v>44148</v>
      </c>
      <c r="H1798" s="2846" t="s">
        <v>37</v>
      </c>
      <c r="I1798" s="3" t="s">
        <v>41</v>
      </c>
      <c r="J1798" s="3" t="s">
        <v>19</v>
      </c>
      <c r="K1798" s="3" t="s">
        <v>3767</v>
      </c>
    </row>
    <row r="1799" spans="1:11" ht="43.2" x14ac:dyDescent="0.3">
      <c r="A1799" s="3" t="s">
        <v>3768</v>
      </c>
      <c r="B1799" s="3" t="str">
        <f>"024772028"</f>
        <v>024772028</v>
      </c>
      <c r="C1799" s="3" t="s">
        <v>1178</v>
      </c>
      <c r="D1799" s="3" t="s">
        <v>3769</v>
      </c>
      <c r="E1799" s="3" t="s">
        <v>412</v>
      </c>
      <c r="F1799" s="2">
        <v>40960</v>
      </c>
      <c r="G1799" s="2"/>
      <c r="H1799" s="2847" t="s">
        <v>17</v>
      </c>
      <c r="I1799" s="2848" t="s">
        <v>18</v>
      </c>
      <c r="J1799" s="3" t="s">
        <v>19</v>
      </c>
      <c r="K1799" s="3"/>
    </row>
    <row r="1800" spans="1:11" ht="43.2" x14ac:dyDescent="0.3">
      <c r="A1800" s="3" t="s">
        <v>3768</v>
      </c>
      <c r="B1800" s="3" t="str">
        <f>"024772016"</f>
        <v>024772016</v>
      </c>
      <c r="C1800" s="3" t="s">
        <v>1178</v>
      </c>
      <c r="D1800" s="3" t="s">
        <v>3770</v>
      </c>
      <c r="E1800" s="3" t="s">
        <v>412</v>
      </c>
      <c r="F1800" s="2">
        <v>43465</v>
      </c>
      <c r="G1800" s="2"/>
      <c r="H1800" s="2849" t="s">
        <v>17</v>
      </c>
      <c r="I1800" s="2850" t="s">
        <v>18</v>
      </c>
      <c r="J1800" s="3" t="s">
        <v>19</v>
      </c>
      <c r="K1800" s="3"/>
    </row>
    <row r="1801" spans="1:11" ht="43.2" x14ac:dyDescent="0.3">
      <c r="A1801" s="3" t="s">
        <v>3768</v>
      </c>
      <c r="B1801" s="3" t="str">
        <f>"024772030"</f>
        <v>024772030</v>
      </c>
      <c r="C1801" s="3" t="s">
        <v>1178</v>
      </c>
      <c r="D1801" s="3" t="s">
        <v>3771</v>
      </c>
      <c r="E1801" s="3" t="s">
        <v>412</v>
      </c>
      <c r="F1801" s="2">
        <v>43465</v>
      </c>
      <c r="G1801" s="2"/>
      <c r="H1801" s="2851" t="s">
        <v>17</v>
      </c>
      <c r="I1801" s="2852" t="s">
        <v>18</v>
      </c>
      <c r="J1801" s="3" t="s">
        <v>19</v>
      </c>
      <c r="K1801" s="3"/>
    </row>
    <row r="1802" spans="1:11" ht="43.2" x14ac:dyDescent="0.3">
      <c r="A1802" s="3" t="s">
        <v>3772</v>
      </c>
      <c r="B1802" s="3" t="str">
        <f>"031120025"</f>
        <v>031120025</v>
      </c>
      <c r="C1802" s="3" t="s">
        <v>3773</v>
      </c>
      <c r="D1802" s="3" t="s">
        <v>3774</v>
      </c>
      <c r="E1802" s="3" t="s">
        <v>803</v>
      </c>
      <c r="F1802" s="2">
        <v>41699</v>
      </c>
      <c r="G1802" s="2"/>
      <c r="H1802" s="2853" t="s">
        <v>37</v>
      </c>
      <c r="I1802" s="2854" t="s">
        <v>32</v>
      </c>
      <c r="J1802" s="3" t="s">
        <v>19</v>
      </c>
      <c r="K1802" s="3"/>
    </row>
    <row r="1803" spans="1:11" ht="43.2" x14ac:dyDescent="0.3">
      <c r="A1803" s="3" t="s">
        <v>3775</v>
      </c>
      <c r="B1803" s="3" t="str">
        <f>"034933010"</f>
        <v>034933010</v>
      </c>
      <c r="C1803" s="3" t="s">
        <v>3776</v>
      </c>
      <c r="D1803" s="3" t="s">
        <v>3777</v>
      </c>
      <c r="E1803" s="3" t="s">
        <v>438</v>
      </c>
      <c r="F1803" s="2">
        <v>42748</v>
      </c>
      <c r="G1803" s="2"/>
      <c r="H1803" s="2855" t="s">
        <v>17</v>
      </c>
      <c r="I1803" s="2856" t="s">
        <v>18</v>
      </c>
      <c r="J1803" s="3" t="s">
        <v>19</v>
      </c>
      <c r="K1803" s="3"/>
    </row>
    <row r="1804" spans="1:11" ht="57.6" x14ac:dyDescent="0.3">
      <c r="A1804" s="3" t="s">
        <v>3775</v>
      </c>
      <c r="B1804" s="3" t="str">
        <f>"034933111"</f>
        <v>034933111</v>
      </c>
      <c r="C1804" s="3" t="s">
        <v>3776</v>
      </c>
      <c r="D1804" s="3" t="s">
        <v>3778</v>
      </c>
      <c r="E1804" s="3" t="s">
        <v>438</v>
      </c>
      <c r="F1804" s="2">
        <v>44143</v>
      </c>
      <c r="G1804" s="2">
        <v>44227</v>
      </c>
      <c r="H1804" s="2857" t="s">
        <v>37</v>
      </c>
      <c r="I1804" s="3" t="s">
        <v>843</v>
      </c>
      <c r="J1804" s="3" t="s">
        <v>240</v>
      </c>
      <c r="K1804" s="3"/>
    </row>
    <row r="1805" spans="1:11" ht="43.2" x14ac:dyDescent="0.3">
      <c r="A1805" s="3" t="s">
        <v>3779</v>
      </c>
      <c r="B1805" s="3" t="str">
        <f>"037157017"</f>
        <v>037157017</v>
      </c>
      <c r="C1805" s="3" t="s">
        <v>3780</v>
      </c>
      <c r="D1805" s="3" t="s">
        <v>3781</v>
      </c>
      <c r="E1805" s="3" t="s">
        <v>604</v>
      </c>
      <c r="F1805" s="2">
        <v>43101</v>
      </c>
      <c r="G1805" s="2"/>
      <c r="H1805" s="2858" t="s">
        <v>17</v>
      </c>
      <c r="I1805" s="2859" t="s">
        <v>18</v>
      </c>
      <c r="J1805" s="3" t="s">
        <v>19</v>
      </c>
      <c r="K1805" s="3"/>
    </row>
    <row r="1806" spans="1:11" ht="43.2" x14ac:dyDescent="0.3">
      <c r="A1806" s="3" t="s">
        <v>3779</v>
      </c>
      <c r="B1806" s="3" t="str">
        <f>"037157031"</f>
        <v>037157031</v>
      </c>
      <c r="C1806" s="3" t="s">
        <v>3780</v>
      </c>
      <c r="D1806" s="3" t="s">
        <v>3782</v>
      </c>
      <c r="E1806" s="3" t="s">
        <v>604</v>
      </c>
      <c r="F1806" s="2">
        <v>44211</v>
      </c>
      <c r="G1806" s="2">
        <v>44316</v>
      </c>
      <c r="H1806" s="2860" t="s">
        <v>17</v>
      </c>
      <c r="I1806" s="3" t="s">
        <v>178</v>
      </c>
      <c r="J1806" s="3" t="s">
        <v>19</v>
      </c>
      <c r="K1806" s="3"/>
    </row>
    <row r="1807" spans="1:11" ht="86.4" x14ac:dyDescent="0.3">
      <c r="A1807" s="3" t="s">
        <v>3783</v>
      </c>
      <c r="B1807" s="3" t="str">
        <f>"041372020"</f>
        <v>041372020</v>
      </c>
      <c r="C1807" s="3" t="s">
        <v>3784</v>
      </c>
      <c r="D1807" s="3" t="s">
        <v>3785</v>
      </c>
      <c r="E1807" s="3" t="s">
        <v>112</v>
      </c>
      <c r="F1807" s="2">
        <v>43738</v>
      </c>
      <c r="G1807" s="2"/>
      <c r="H1807" s="2861" t="s">
        <v>37</v>
      </c>
      <c r="I1807" s="3" t="s">
        <v>41</v>
      </c>
      <c r="J1807" s="3" t="s">
        <v>19</v>
      </c>
      <c r="K1807" s="3"/>
    </row>
    <row r="1808" spans="1:11" ht="57.6" x14ac:dyDescent="0.3">
      <c r="A1808" s="3" t="s">
        <v>3786</v>
      </c>
      <c r="B1808" s="3" t="str">
        <f>"036938013"</f>
        <v>036938013</v>
      </c>
      <c r="C1808" s="3" t="s">
        <v>2612</v>
      </c>
      <c r="D1808" s="3" t="s">
        <v>3787</v>
      </c>
      <c r="E1808" s="3" t="s">
        <v>3788</v>
      </c>
      <c r="F1808" s="2">
        <v>43672</v>
      </c>
      <c r="G1808" s="2"/>
      <c r="H1808" s="2862" t="s">
        <v>17</v>
      </c>
      <c r="I1808" s="3" t="s">
        <v>41</v>
      </c>
      <c r="J1808" s="3" t="s">
        <v>156</v>
      </c>
      <c r="K1808" s="3"/>
    </row>
    <row r="1809" spans="1:11" ht="57.6" x14ac:dyDescent="0.3">
      <c r="A1809" s="3" t="s">
        <v>3786</v>
      </c>
      <c r="B1809" s="3" t="str">
        <f>"036938025"</f>
        <v>036938025</v>
      </c>
      <c r="C1809" s="3" t="s">
        <v>2612</v>
      </c>
      <c r="D1809" s="3" t="s">
        <v>3789</v>
      </c>
      <c r="E1809" s="3" t="s">
        <v>3788</v>
      </c>
      <c r="F1809" s="2">
        <v>43672</v>
      </c>
      <c r="G1809" s="2"/>
      <c r="H1809" s="2863" t="s">
        <v>17</v>
      </c>
      <c r="I1809" s="3" t="s">
        <v>41</v>
      </c>
      <c r="J1809" s="3" t="s">
        <v>156</v>
      </c>
      <c r="K1809" s="3"/>
    </row>
    <row r="1810" spans="1:11" ht="57.6" x14ac:dyDescent="0.3">
      <c r="A1810" s="3" t="s">
        <v>3786</v>
      </c>
      <c r="B1810" s="3" t="str">
        <f>"036938037"</f>
        <v>036938037</v>
      </c>
      <c r="C1810" s="3" t="s">
        <v>2612</v>
      </c>
      <c r="D1810" s="3" t="s">
        <v>3790</v>
      </c>
      <c r="E1810" s="3" t="s">
        <v>3788</v>
      </c>
      <c r="F1810" s="2">
        <v>43672</v>
      </c>
      <c r="G1810" s="2"/>
      <c r="H1810" s="2864" t="s">
        <v>37</v>
      </c>
      <c r="I1810" s="3" t="s">
        <v>41</v>
      </c>
      <c r="J1810" s="3" t="s">
        <v>156</v>
      </c>
      <c r="K1810" s="3"/>
    </row>
    <row r="1811" spans="1:11" ht="57.6" x14ac:dyDescent="0.3">
      <c r="A1811" s="3" t="s">
        <v>3786</v>
      </c>
      <c r="B1811" s="3" t="str">
        <f>"036938049"</f>
        <v>036938049</v>
      </c>
      <c r="C1811" s="3" t="s">
        <v>2612</v>
      </c>
      <c r="D1811" s="3" t="s">
        <v>3791</v>
      </c>
      <c r="E1811" s="3" t="s">
        <v>3788</v>
      </c>
      <c r="F1811" s="2">
        <v>43672</v>
      </c>
      <c r="G1811" s="2"/>
      <c r="H1811" s="2865" t="s">
        <v>37</v>
      </c>
      <c r="I1811" s="3" t="s">
        <v>41</v>
      </c>
      <c r="J1811" s="3" t="s">
        <v>156</v>
      </c>
      <c r="K1811" s="3"/>
    </row>
    <row r="1812" spans="1:11" ht="57.6" x14ac:dyDescent="0.3">
      <c r="A1812" s="3" t="s">
        <v>3792</v>
      </c>
      <c r="B1812" s="3" t="str">
        <f>"036918023"</f>
        <v>036918023</v>
      </c>
      <c r="C1812" s="3" t="s">
        <v>2612</v>
      </c>
      <c r="D1812" s="3" t="s">
        <v>3793</v>
      </c>
      <c r="E1812" s="3" t="s">
        <v>3794</v>
      </c>
      <c r="F1812" s="2">
        <v>43724</v>
      </c>
      <c r="G1812" s="2"/>
      <c r="H1812" s="2866" t="s">
        <v>17</v>
      </c>
      <c r="I1812" s="3" t="s">
        <v>41</v>
      </c>
      <c r="J1812" s="3" t="s">
        <v>156</v>
      </c>
      <c r="K1812" s="3"/>
    </row>
    <row r="1813" spans="1:11" ht="43.2" x14ac:dyDescent="0.3">
      <c r="A1813" s="3" t="s">
        <v>3795</v>
      </c>
      <c r="B1813" s="3" t="str">
        <f>"032813127"</f>
        <v>032813127</v>
      </c>
      <c r="C1813" s="3" t="s">
        <v>554</v>
      </c>
      <c r="D1813" s="3" t="s">
        <v>3796</v>
      </c>
      <c r="E1813" s="3" t="s">
        <v>1950</v>
      </c>
      <c r="F1813" s="2">
        <v>43159</v>
      </c>
      <c r="G1813" s="2"/>
      <c r="H1813" s="2867" t="s">
        <v>37</v>
      </c>
      <c r="I1813" s="2868" t="s">
        <v>18</v>
      </c>
      <c r="J1813" s="3" t="s">
        <v>19</v>
      </c>
      <c r="K1813" s="3"/>
    </row>
    <row r="1814" spans="1:11" ht="43.2" x14ac:dyDescent="0.3">
      <c r="A1814" s="3" t="s">
        <v>3795</v>
      </c>
      <c r="B1814" s="3" t="str">
        <f>"032813139"</f>
        <v>032813139</v>
      </c>
      <c r="C1814" s="3" t="s">
        <v>554</v>
      </c>
      <c r="D1814" s="3" t="s">
        <v>3797</v>
      </c>
      <c r="E1814" s="3" t="s">
        <v>1950</v>
      </c>
      <c r="F1814" s="2">
        <v>43160</v>
      </c>
      <c r="G1814" s="2"/>
      <c r="H1814" s="2869" t="s">
        <v>37</v>
      </c>
      <c r="I1814" s="2870" t="s">
        <v>18</v>
      </c>
      <c r="J1814" s="3" t="s">
        <v>19</v>
      </c>
      <c r="K1814" s="3"/>
    </row>
    <row r="1815" spans="1:11" ht="43.2" x14ac:dyDescent="0.3">
      <c r="A1815" s="3" t="s">
        <v>3795</v>
      </c>
      <c r="B1815" s="3" t="str">
        <f>"032813141"</f>
        <v>032813141</v>
      </c>
      <c r="C1815" s="3" t="s">
        <v>554</v>
      </c>
      <c r="D1815" s="3" t="s">
        <v>3798</v>
      </c>
      <c r="E1815" s="3" t="s">
        <v>1950</v>
      </c>
      <c r="F1815" s="2">
        <v>43161</v>
      </c>
      <c r="G1815" s="2"/>
      <c r="H1815" s="2871" t="s">
        <v>37</v>
      </c>
      <c r="I1815" s="2872" t="s">
        <v>18</v>
      </c>
      <c r="J1815" s="3" t="s">
        <v>19</v>
      </c>
      <c r="K1815" s="3"/>
    </row>
    <row r="1816" spans="1:11" ht="57.6" x14ac:dyDescent="0.3">
      <c r="A1816" s="3" t="s">
        <v>3799</v>
      </c>
      <c r="B1816" s="3" t="str">
        <f>"030106013"</f>
        <v>030106013</v>
      </c>
      <c r="C1816" s="3" t="s">
        <v>3800</v>
      </c>
      <c r="D1816" s="3" t="s">
        <v>3801</v>
      </c>
      <c r="E1816" s="3" t="s">
        <v>3184</v>
      </c>
      <c r="F1816" s="2">
        <v>43789</v>
      </c>
      <c r="G1816" s="2"/>
      <c r="H1816" s="2873" t="s">
        <v>17</v>
      </c>
      <c r="I1816" s="2874" t="s">
        <v>18</v>
      </c>
      <c r="J1816" s="3" t="s">
        <v>19</v>
      </c>
      <c r="K1816" s="3"/>
    </row>
    <row r="1817" spans="1:11" ht="43.2" x14ac:dyDescent="0.3">
      <c r="A1817" s="3" t="s">
        <v>3802</v>
      </c>
      <c r="B1817" s="3" t="str">
        <f>"041493077"</f>
        <v>041493077</v>
      </c>
      <c r="C1817" s="3" t="s">
        <v>3803</v>
      </c>
      <c r="D1817" s="3" t="s">
        <v>3804</v>
      </c>
      <c r="E1817" s="3" t="s">
        <v>16</v>
      </c>
      <c r="F1817" s="2">
        <v>41851</v>
      </c>
      <c r="G1817" s="2"/>
      <c r="H1817" s="2875" t="s">
        <v>17</v>
      </c>
      <c r="I1817" s="2876" t="s">
        <v>18</v>
      </c>
      <c r="J1817" s="3" t="s">
        <v>19</v>
      </c>
      <c r="K1817" s="3"/>
    </row>
    <row r="1818" spans="1:11" ht="43.2" x14ac:dyDescent="0.3">
      <c r="A1818" s="3" t="s">
        <v>3805</v>
      </c>
      <c r="B1818" s="3" t="str">
        <f>"040084257"</f>
        <v>040084257</v>
      </c>
      <c r="C1818" s="3" t="s">
        <v>3803</v>
      </c>
      <c r="D1818" s="3" t="s">
        <v>3806</v>
      </c>
      <c r="E1818" s="3" t="s">
        <v>56</v>
      </c>
      <c r="F1818" s="2">
        <v>43518</v>
      </c>
      <c r="G1818" s="2">
        <v>44133</v>
      </c>
      <c r="H1818" s="2877" t="s">
        <v>17</v>
      </c>
      <c r="I1818" s="3" t="s">
        <v>41</v>
      </c>
      <c r="J1818" s="3" t="s">
        <v>19</v>
      </c>
      <c r="K1818" s="3"/>
    </row>
    <row r="1819" spans="1:11" ht="43.2" x14ac:dyDescent="0.3">
      <c r="A1819" s="3" t="s">
        <v>3807</v>
      </c>
      <c r="B1819" s="3" t="str">
        <f>"040474013"</f>
        <v>040474013</v>
      </c>
      <c r="C1819" s="3" t="s">
        <v>3803</v>
      </c>
      <c r="D1819" s="3" t="s">
        <v>3808</v>
      </c>
      <c r="E1819" s="3" t="s">
        <v>518</v>
      </c>
      <c r="F1819" s="2">
        <v>44256</v>
      </c>
      <c r="G1819" s="2"/>
      <c r="H1819" s="2878" t="s">
        <v>17</v>
      </c>
      <c r="I1819" s="2879" t="s">
        <v>18</v>
      </c>
      <c r="J1819" s="3" t="s">
        <v>19</v>
      </c>
      <c r="K1819" s="3"/>
    </row>
    <row r="1820" spans="1:11" ht="43.2" x14ac:dyDescent="0.3">
      <c r="A1820" s="3" t="s">
        <v>3807</v>
      </c>
      <c r="B1820" s="3" t="str">
        <f>"040474037"</f>
        <v>040474037</v>
      </c>
      <c r="C1820" s="3" t="s">
        <v>3803</v>
      </c>
      <c r="D1820" s="3" t="s">
        <v>3809</v>
      </c>
      <c r="E1820" s="3" t="s">
        <v>518</v>
      </c>
      <c r="F1820" s="2">
        <v>44317</v>
      </c>
      <c r="G1820" s="2"/>
      <c r="H1820" s="2880" t="s">
        <v>17</v>
      </c>
      <c r="I1820" s="2881" t="s">
        <v>18</v>
      </c>
      <c r="J1820" s="3" t="s">
        <v>19</v>
      </c>
      <c r="K1820" s="3"/>
    </row>
    <row r="1821" spans="1:11" ht="57.6" x14ac:dyDescent="0.3">
      <c r="A1821" s="3" t="s">
        <v>3810</v>
      </c>
      <c r="B1821" s="3" t="str">
        <f>"042309082"</f>
        <v>042309082</v>
      </c>
      <c r="C1821" s="3" t="s">
        <v>3803</v>
      </c>
      <c r="D1821" s="3" t="s">
        <v>3811</v>
      </c>
      <c r="E1821" s="3" t="s">
        <v>27</v>
      </c>
      <c r="F1821" s="2">
        <v>44110</v>
      </c>
      <c r="G1821" s="2">
        <v>44227</v>
      </c>
      <c r="H1821" s="2882" t="s">
        <v>17</v>
      </c>
      <c r="I1821" s="3" t="s">
        <v>41</v>
      </c>
      <c r="J1821" s="3" t="s">
        <v>19</v>
      </c>
      <c r="K1821" s="3"/>
    </row>
    <row r="1822" spans="1:11" ht="43.2" x14ac:dyDescent="0.3">
      <c r="A1822" s="3" t="s">
        <v>3810</v>
      </c>
      <c r="B1822" s="3" t="str">
        <f>"042309144"</f>
        <v>042309144</v>
      </c>
      <c r="C1822" s="3" t="s">
        <v>3803</v>
      </c>
      <c r="D1822" s="3" t="s">
        <v>3812</v>
      </c>
      <c r="E1822" s="3" t="s">
        <v>27</v>
      </c>
      <c r="F1822" s="2">
        <v>44084</v>
      </c>
      <c r="G1822" s="2">
        <v>44165</v>
      </c>
      <c r="H1822" s="2883" t="s">
        <v>17</v>
      </c>
      <c r="I1822" s="3" t="s">
        <v>41</v>
      </c>
      <c r="J1822" s="3" t="s">
        <v>19</v>
      </c>
      <c r="K1822" s="3"/>
    </row>
    <row r="1823" spans="1:11" ht="43.2" x14ac:dyDescent="0.3">
      <c r="A1823" s="3" t="s">
        <v>3813</v>
      </c>
      <c r="B1823" s="3" t="str">
        <f>"033776016"</f>
        <v>033776016</v>
      </c>
      <c r="C1823" s="3" t="s">
        <v>3814</v>
      </c>
      <c r="D1823" s="3" t="s">
        <v>3815</v>
      </c>
      <c r="E1823" s="3" t="s">
        <v>2385</v>
      </c>
      <c r="F1823" s="2">
        <v>43419</v>
      </c>
      <c r="G1823" s="2"/>
      <c r="H1823" s="2884" t="s">
        <v>37</v>
      </c>
      <c r="I1823" s="3" t="s">
        <v>41</v>
      </c>
      <c r="J1823" s="3" t="s">
        <v>19</v>
      </c>
      <c r="K1823" s="3"/>
    </row>
    <row r="1824" spans="1:11" ht="43.2" x14ac:dyDescent="0.3">
      <c r="A1824" s="3" t="s">
        <v>3816</v>
      </c>
      <c r="B1824" s="3" t="str">
        <f>"041337167"</f>
        <v>041337167</v>
      </c>
      <c r="C1824" s="3" t="s">
        <v>3817</v>
      </c>
      <c r="D1824" s="3" t="s">
        <v>3818</v>
      </c>
      <c r="E1824" s="3" t="s">
        <v>83</v>
      </c>
      <c r="F1824" s="2">
        <v>44249</v>
      </c>
      <c r="G1824" s="2"/>
      <c r="H1824" s="2885" t="s">
        <v>17</v>
      </c>
      <c r="I1824" s="3" t="s">
        <v>41</v>
      </c>
      <c r="J1824" s="3" t="s">
        <v>19</v>
      </c>
      <c r="K1824" s="3"/>
    </row>
    <row r="1825" spans="1:11" ht="43.2" x14ac:dyDescent="0.3">
      <c r="A1825" s="3" t="s">
        <v>3816</v>
      </c>
      <c r="B1825" s="3" t="str">
        <f>"041337318"</f>
        <v>041337318</v>
      </c>
      <c r="C1825" s="3" t="s">
        <v>3817</v>
      </c>
      <c r="D1825" s="3" t="s">
        <v>3819</v>
      </c>
      <c r="E1825" s="3" t="s">
        <v>83</v>
      </c>
      <c r="F1825" s="2">
        <v>44040</v>
      </c>
      <c r="G1825" s="2"/>
      <c r="H1825" s="2886" t="s">
        <v>17</v>
      </c>
      <c r="I1825" s="3" t="s">
        <v>41</v>
      </c>
      <c r="J1825" s="3" t="s">
        <v>19</v>
      </c>
      <c r="K1825" s="3"/>
    </row>
    <row r="1826" spans="1:11" ht="43.2" x14ac:dyDescent="0.3">
      <c r="A1826" s="3" t="s">
        <v>3820</v>
      </c>
      <c r="B1826" s="3" t="str">
        <f>"037682212"</f>
        <v>037682212</v>
      </c>
      <c r="C1826" s="3" t="s">
        <v>3817</v>
      </c>
      <c r="D1826" s="3" t="s">
        <v>3821</v>
      </c>
      <c r="E1826" s="3" t="s">
        <v>24</v>
      </c>
      <c r="F1826" s="2">
        <v>42308</v>
      </c>
      <c r="G1826" s="2"/>
      <c r="H1826" s="2887" t="s">
        <v>17</v>
      </c>
      <c r="I1826" s="2888" t="s">
        <v>18</v>
      </c>
      <c r="J1826" s="3" t="s">
        <v>19</v>
      </c>
      <c r="K1826" s="3"/>
    </row>
    <row r="1827" spans="1:11" ht="43.2" x14ac:dyDescent="0.3">
      <c r="A1827" s="3" t="s">
        <v>3820</v>
      </c>
      <c r="B1827" s="3" t="str">
        <f>"037682198"</f>
        <v>037682198</v>
      </c>
      <c r="C1827" s="3" t="s">
        <v>3817</v>
      </c>
      <c r="D1827" s="3" t="s">
        <v>3822</v>
      </c>
      <c r="E1827" s="3" t="s">
        <v>24</v>
      </c>
      <c r="F1827" s="2">
        <v>42308</v>
      </c>
      <c r="G1827" s="2"/>
      <c r="H1827" s="2889" t="s">
        <v>17</v>
      </c>
      <c r="I1827" s="2890" t="s">
        <v>18</v>
      </c>
      <c r="J1827" s="3" t="s">
        <v>19</v>
      </c>
      <c r="K1827" s="3"/>
    </row>
    <row r="1828" spans="1:11" ht="43.2" x14ac:dyDescent="0.3">
      <c r="A1828" s="3" t="s">
        <v>3823</v>
      </c>
      <c r="B1828" s="3" t="str">
        <f>"037620010"</f>
        <v>037620010</v>
      </c>
      <c r="C1828" s="3" t="s">
        <v>3817</v>
      </c>
      <c r="D1828" s="3" t="s">
        <v>3818</v>
      </c>
      <c r="E1828" s="3" t="s">
        <v>263</v>
      </c>
      <c r="F1828" s="2">
        <v>44137</v>
      </c>
      <c r="G1828" s="2"/>
      <c r="H1828" s="2891" t="s">
        <v>17</v>
      </c>
      <c r="I1828" s="3" t="s">
        <v>41</v>
      </c>
      <c r="J1828" s="3" t="s">
        <v>19</v>
      </c>
      <c r="K1828" s="3"/>
    </row>
    <row r="1829" spans="1:11" ht="43.2" x14ac:dyDescent="0.3">
      <c r="A1829" s="3" t="s">
        <v>3824</v>
      </c>
      <c r="B1829" s="3" t="str">
        <f>"037613116"</f>
        <v>037613116</v>
      </c>
      <c r="C1829" s="3" t="s">
        <v>3817</v>
      </c>
      <c r="D1829" s="3" t="s">
        <v>3819</v>
      </c>
      <c r="E1829" s="3" t="s">
        <v>64</v>
      </c>
      <c r="F1829" s="2">
        <v>44075</v>
      </c>
      <c r="G1829" s="2"/>
      <c r="H1829" s="2892" t="s">
        <v>17</v>
      </c>
      <c r="I1829" s="3" t="s">
        <v>41</v>
      </c>
      <c r="J1829" s="3" t="s">
        <v>19</v>
      </c>
      <c r="K1829" s="3"/>
    </row>
    <row r="1830" spans="1:11" ht="57.6" x14ac:dyDescent="0.3">
      <c r="A1830" s="3" t="s">
        <v>3825</v>
      </c>
      <c r="B1830" s="3" t="str">
        <f>"038505018"</f>
        <v>038505018</v>
      </c>
      <c r="C1830" s="3" t="s">
        <v>680</v>
      </c>
      <c r="D1830" s="3" t="s">
        <v>3826</v>
      </c>
      <c r="E1830" s="3" t="s">
        <v>147</v>
      </c>
      <c r="F1830" s="2">
        <v>43493</v>
      </c>
      <c r="G1830" s="2"/>
      <c r="H1830" s="2893" t="s">
        <v>17</v>
      </c>
      <c r="I1830" s="3" t="s">
        <v>41</v>
      </c>
      <c r="J1830" s="3" t="s">
        <v>19</v>
      </c>
      <c r="K1830" s="3"/>
    </row>
    <row r="1831" spans="1:11" ht="57.6" x14ac:dyDescent="0.3">
      <c r="A1831" s="3" t="s">
        <v>3825</v>
      </c>
      <c r="B1831" s="3" t="str">
        <f>"038505032"</f>
        <v>038505032</v>
      </c>
      <c r="C1831" s="3" t="s">
        <v>680</v>
      </c>
      <c r="D1831" s="3" t="s">
        <v>3827</v>
      </c>
      <c r="E1831" s="3" t="s">
        <v>147</v>
      </c>
      <c r="F1831" s="2">
        <v>43493</v>
      </c>
      <c r="G1831" s="2"/>
      <c r="H1831" s="2894" t="s">
        <v>17</v>
      </c>
      <c r="I1831" s="3" t="s">
        <v>41</v>
      </c>
      <c r="J1831" s="3" t="s">
        <v>19</v>
      </c>
      <c r="K1831" s="3"/>
    </row>
    <row r="1832" spans="1:11" ht="43.2" x14ac:dyDescent="0.3">
      <c r="A1832" s="3" t="s">
        <v>3828</v>
      </c>
      <c r="B1832" s="3" t="str">
        <f>"023762053"</f>
        <v>023762053</v>
      </c>
      <c r="C1832" s="3" t="s">
        <v>3829</v>
      </c>
      <c r="D1832" s="3" t="s">
        <v>3830</v>
      </c>
      <c r="E1832" s="3" t="s">
        <v>412</v>
      </c>
      <c r="F1832" s="2">
        <v>44172</v>
      </c>
      <c r="G1832" s="2">
        <v>44227</v>
      </c>
      <c r="H1832" s="2895" t="s">
        <v>17</v>
      </c>
      <c r="I1832" s="3" t="s">
        <v>41</v>
      </c>
      <c r="J1832" s="3" t="s">
        <v>19</v>
      </c>
      <c r="K1832" s="3"/>
    </row>
    <row r="1833" spans="1:11" ht="43.2" x14ac:dyDescent="0.3">
      <c r="A1833" s="3" t="s">
        <v>3831</v>
      </c>
      <c r="B1833" s="3" t="str">
        <f>"043410012"</f>
        <v>043410012</v>
      </c>
      <c r="C1833" s="3" t="s">
        <v>3832</v>
      </c>
      <c r="D1833" s="3" t="s">
        <v>3833</v>
      </c>
      <c r="E1833" s="3" t="s">
        <v>211</v>
      </c>
      <c r="F1833" s="2">
        <v>43708</v>
      </c>
      <c r="G1833" s="2"/>
      <c r="H1833" s="2896" t="s">
        <v>17</v>
      </c>
      <c r="I1833" s="2897" t="s">
        <v>32</v>
      </c>
      <c r="J1833" s="3" t="s">
        <v>19</v>
      </c>
      <c r="K1833" s="3"/>
    </row>
    <row r="1834" spans="1:11" ht="43.2" x14ac:dyDescent="0.3">
      <c r="A1834" s="3" t="s">
        <v>3831</v>
      </c>
      <c r="B1834" s="3" t="str">
        <f>"043410024"</f>
        <v>043410024</v>
      </c>
      <c r="C1834" s="3" t="s">
        <v>3832</v>
      </c>
      <c r="D1834" s="3" t="s">
        <v>3834</v>
      </c>
      <c r="E1834" s="3" t="s">
        <v>211</v>
      </c>
      <c r="F1834" s="2">
        <v>43708</v>
      </c>
      <c r="G1834" s="2"/>
      <c r="H1834" s="2898" t="s">
        <v>17</v>
      </c>
      <c r="I1834" s="2899" t="s">
        <v>32</v>
      </c>
      <c r="J1834" s="3" t="s">
        <v>19</v>
      </c>
      <c r="K1834" s="3"/>
    </row>
    <row r="1835" spans="1:11" ht="43.2" x14ac:dyDescent="0.3">
      <c r="A1835" s="3" t="s">
        <v>3831</v>
      </c>
      <c r="B1835" s="3" t="str">
        <f>"043410048"</f>
        <v>043410048</v>
      </c>
      <c r="C1835" s="3" t="s">
        <v>3832</v>
      </c>
      <c r="D1835" s="3" t="s">
        <v>3835</v>
      </c>
      <c r="E1835" s="3" t="s">
        <v>211</v>
      </c>
      <c r="F1835" s="2">
        <v>43708</v>
      </c>
      <c r="G1835" s="2"/>
      <c r="H1835" s="2900" t="s">
        <v>17</v>
      </c>
      <c r="I1835" s="2901" t="s">
        <v>32</v>
      </c>
      <c r="J1835" s="3" t="s">
        <v>19</v>
      </c>
      <c r="K1835" s="3"/>
    </row>
    <row r="1836" spans="1:11" ht="57.6" x14ac:dyDescent="0.3">
      <c r="A1836" s="3" t="s">
        <v>3836</v>
      </c>
      <c r="B1836" s="3" t="str">
        <f>"024703112"</f>
        <v>024703112</v>
      </c>
      <c r="C1836" s="3" t="s">
        <v>3837</v>
      </c>
      <c r="D1836" s="3" t="s">
        <v>3838</v>
      </c>
      <c r="E1836" s="3" t="s">
        <v>456</v>
      </c>
      <c r="F1836" s="2">
        <v>44104</v>
      </c>
      <c r="G1836" s="2">
        <v>44165</v>
      </c>
      <c r="H1836" s="2902" t="s">
        <v>37</v>
      </c>
      <c r="I1836" s="3" t="s">
        <v>104</v>
      </c>
      <c r="J1836" s="3" t="s">
        <v>156</v>
      </c>
      <c r="K1836" s="3"/>
    </row>
    <row r="1837" spans="1:11" ht="43.2" x14ac:dyDescent="0.3">
      <c r="A1837" s="3" t="s">
        <v>3839</v>
      </c>
      <c r="B1837" s="3" t="str">
        <f>"043740137"</f>
        <v>043740137</v>
      </c>
      <c r="C1837" s="3" t="s">
        <v>2974</v>
      </c>
      <c r="D1837" s="3" t="s">
        <v>3840</v>
      </c>
      <c r="E1837" s="3" t="s">
        <v>83</v>
      </c>
      <c r="F1837" s="2">
        <v>44138</v>
      </c>
      <c r="G1837" s="2"/>
      <c r="H1837" s="2903" t="s">
        <v>17</v>
      </c>
      <c r="I1837" s="3" t="s">
        <v>41</v>
      </c>
      <c r="J1837" s="3" t="s">
        <v>19</v>
      </c>
      <c r="K1837" s="3"/>
    </row>
    <row r="1838" spans="1:11" ht="43.2" x14ac:dyDescent="0.3">
      <c r="A1838" s="3" t="s">
        <v>3839</v>
      </c>
      <c r="B1838" s="3" t="str">
        <f>"043740380"</f>
        <v>043740380</v>
      </c>
      <c r="C1838" s="3" t="s">
        <v>2974</v>
      </c>
      <c r="D1838" s="3" t="s">
        <v>3841</v>
      </c>
      <c r="E1838" s="3" t="s">
        <v>83</v>
      </c>
      <c r="F1838" s="2">
        <v>43595</v>
      </c>
      <c r="G1838" s="2"/>
      <c r="H1838" s="2904" t="s">
        <v>17</v>
      </c>
      <c r="I1838" s="3" t="s">
        <v>41</v>
      </c>
      <c r="J1838" s="3" t="s">
        <v>19</v>
      </c>
      <c r="K1838" s="3"/>
    </row>
    <row r="1839" spans="1:11" ht="43.2" x14ac:dyDescent="0.3">
      <c r="A1839" s="3" t="s">
        <v>3842</v>
      </c>
      <c r="B1839" s="3" t="str">
        <f>"043690015"</f>
        <v>043690015</v>
      </c>
      <c r="C1839" s="3" t="s">
        <v>2974</v>
      </c>
      <c r="D1839" s="3" t="s">
        <v>3843</v>
      </c>
      <c r="E1839" s="3" t="s">
        <v>3494</v>
      </c>
      <c r="F1839" s="2">
        <v>43556</v>
      </c>
      <c r="G1839" s="2">
        <v>43924</v>
      </c>
      <c r="H1839" s="2905" t="s">
        <v>17</v>
      </c>
      <c r="I1839" s="3" t="s">
        <v>41</v>
      </c>
      <c r="J1839" s="3" t="s">
        <v>19</v>
      </c>
      <c r="K1839" s="3"/>
    </row>
    <row r="1840" spans="1:11" ht="43.2" x14ac:dyDescent="0.3">
      <c r="A1840" s="3" t="s">
        <v>3844</v>
      </c>
      <c r="B1840" s="3" t="str">
        <f>"044289015"</f>
        <v>044289015</v>
      </c>
      <c r="C1840" s="3" t="s">
        <v>2974</v>
      </c>
      <c r="D1840" s="3" t="s">
        <v>3845</v>
      </c>
      <c r="E1840" s="3" t="s">
        <v>518</v>
      </c>
      <c r="F1840" s="2">
        <v>43435</v>
      </c>
      <c r="G1840" s="2"/>
      <c r="H1840" s="2906" t="s">
        <v>17</v>
      </c>
      <c r="I1840" s="2907" t="s">
        <v>18</v>
      </c>
      <c r="J1840" s="3" t="s">
        <v>19</v>
      </c>
      <c r="K1840" s="3"/>
    </row>
    <row r="1841" spans="1:11" ht="43.2" x14ac:dyDescent="0.3">
      <c r="A1841" s="3" t="s">
        <v>3844</v>
      </c>
      <c r="B1841" s="3" t="str">
        <f>"044289181"</f>
        <v>044289181</v>
      </c>
      <c r="C1841" s="3" t="s">
        <v>2974</v>
      </c>
      <c r="D1841" s="3" t="s">
        <v>3846</v>
      </c>
      <c r="E1841" s="3" t="s">
        <v>518</v>
      </c>
      <c r="F1841" s="2">
        <v>43344</v>
      </c>
      <c r="G1841" s="2"/>
      <c r="H1841" s="2908" t="s">
        <v>17</v>
      </c>
      <c r="I1841" s="2909" t="s">
        <v>18</v>
      </c>
      <c r="J1841" s="3" t="s">
        <v>19</v>
      </c>
      <c r="K1841" s="3"/>
    </row>
    <row r="1842" spans="1:11" ht="43.2" x14ac:dyDescent="0.3">
      <c r="A1842" s="3" t="s">
        <v>3844</v>
      </c>
      <c r="B1842" s="3" t="str">
        <f>"044289217"</f>
        <v>044289217</v>
      </c>
      <c r="C1842" s="3" t="s">
        <v>2974</v>
      </c>
      <c r="D1842" s="3" t="s">
        <v>3847</v>
      </c>
      <c r="E1842" s="3" t="s">
        <v>518</v>
      </c>
      <c r="F1842" s="2">
        <v>43374</v>
      </c>
      <c r="G1842" s="2"/>
      <c r="H1842" s="2910" t="s">
        <v>17</v>
      </c>
      <c r="I1842" s="2911" t="s">
        <v>18</v>
      </c>
      <c r="J1842" s="3" t="s">
        <v>19</v>
      </c>
      <c r="K1842" s="3"/>
    </row>
    <row r="1843" spans="1:11" ht="43.2" x14ac:dyDescent="0.3">
      <c r="A1843" s="3" t="s">
        <v>3844</v>
      </c>
      <c r="B1843" s="3" t="str">
        <f>"044289421"</f>
        <v>044289421</v>
      </c>
      <c r="C1843" s="3" t="s">
        <v>2974</v>
      </c>
      <c r="D1843" s="3" t="s">
        <v>3848</v>
      </c>
      <c r="E1843" s="3" t="s">
        <v>518</v>
      </c>
      <c r="F1843" s="2">
        <v>43374</v>
      </c>
      <c r="G1843" s="2"/>
      <c r="H1843" s="2912" t="s">
        <v>17</v>
      </c>
      <c r="I1843" s="2913" t="s">
        <v>18</v>
      </c>
      <c r="J1843" s="3" t="s">
        <v>19</v>
      </c>
      <c r="K1843" s="3"/>
    </row>
    <row r="1844" spans="1:11" ht="43.2" x14ac:dyDescent="0.3">
      <c r="A1844" s="3" t="s">
        <v>3844</v>
      </c>
      <c r="B1844" s="3" t="str">
        <f>"044289458"</f>
        <v>044289458</v>
      </c>
      <c r="C1844" s="3" t="s">
        <v>2974</v>
      </c>
      <c r="D1844" s="3" t="s">
        <v>3849</v>
      </c>
      <c r="E1844" s="3" t="s">
        <v>518</v>
      </c>
      <c r="F1844" s="2">
        <v>43374</v>
      </c>
      <c r="G1844" s="2"/>
      <c r="H1844" s="2914" t="s">
        <v>17</v>
      </c>
      <c r="I1844" s="2915" t="s">
        <v>18</v>
      </c>
      <c r="J1844" s="3" t="s">
        <v>19</v>
      </c>
      <c r="K1844" s="3"/>
    </row>
    <row r="1845" spans="1:11" ht="43.2" x14ac:dyDescent="0.3">
      <c r="A1845" s="3" t="s">
        <v>3844</v>
      </c>
      <c r="B1845" s="3" t="str">
        <f>"044289724"</f>
        <v>044289724</v>
      </c>
      <c r="C1845" s="3" t="s">
        <v>2974</v>
      </c>
      <c r="D1845" s="3" t="s">
        <v>3850</v>
      </c>
      <c r="E1845" s="3" t="s">
        <v>518</v>
      </c>
      <c r="F1845" s="2">
        <v>43344</v>
      </c>
      <c r="G1845" s="2"/>
      <c r="H1845" s="2916" t="s">
        <v>17</v>
      </c>
      <c r="I1845" s="2917" t="s">
        <v>18</v>
      </c>
      <c r="J1845" s="3" t="s">
        <v>19</v>
      </c>
      <c r="K1845" s="3"/>
    </row>
    <row r="1846" spans="1:11" ht="43.2" x14ac:dyDescent="0.3">
      <c r="A1846" s="3" t="s">
        <v>3851</v>
      </c>
      <c r="B1846" s="3" t="str">
        <f>"043571013"</f>
        <v>043571013</v>
      </c>
      <c r="C1846" s="3" t="s">
        <v>2974</v>
      </c>
      <c r="D1846" s="3" t="s">
        <v>3852</v>
      </c>
      <c r="E1846" s="3" t="s">
        <v>64</v>
      </c>
      <c r="F1846" s="2">
        <v>43983</v>
      </c>
      <c r="G1846" s="2"/>
      <c r="H1846" s="2918" t="s">
        <v>17</v>
      </c>
      <c r="I1846" s="3" t="s">
        <v>41</v>
      </c>
      <c r="J1846" s="3" t="s">
        <v>19</v>
      </c>
      <c r="K1846" s="3"/>
    </row>
    <row r="1847" spans="1:11" ht="57.6" x14ac:dyDescent="0.3">
      <c r="A1847" s="3" t="s">
        <v>3853</v>
      </c>
      <c r="B1847" s="3" t="str">
        <f>"044384016"</f>
        <v>044384016</v>
      </c>
      <c r="C1847" s="3" t="s">
        <v>2974</v>
      </c>
      <c r="D1847" s="3" t="s">
        <v>3854</v>
      </c>
      <c r="E1847" s="3" t="s">
        <v>1529</v>
      </c>
      <c r="F1847" s="2">
        <v>43617</v>
      </c>
      <c r="G1847" s="2"/>
      <c r="H1847" s="2919" t="s">
        <v>17</v>
      </c>
      <c r="I1847" s="2920" t="s">
        <v>18</v>
      </c>
      <c r="J1847" s="3" t="s">
        <v>19</v>
      </c>
      <c r="K1847" s="3"/>
    </row>
    <row r="1848" spans="1:11" ht="43.2" x14ac:dyDescent="0.3">
      <c r="A1848" s="3" t="s">
        <v>3853</v>
      </c>
      <c r="B1848" s="3" t="str">
        <f>"044384117"</f>
        <v>044384117</v>
      </c>
      <c r="C1848" s="3" t="s">
        <v>2974</v>
      </c>
      <c r="D1848" s="3" t="s">
        <v>3855</v>
      </c>
      <c r="E1848" s="3" t="s">
        <v>1529</v>
      </c>
      <c r="F1848" s="2">
        <v>43617</v>
      </c>
      <c r="G1848" s="2"/>
      <c r="H1848" s="2921" t="s">
        <v>17</v>
      </c>
      <c r="I1848" s="2922" t="s">
        <v>18</v>
      </c>
      <c r="J1848" s="3" t="s">
        <v>19</v>
      </c>
      <c r="K1848" s="3"/>
    </row>
    <row r="1849" spans="1:11" ht="43.2" x14ac:dyDescent="0.3">
      <c r="A1849" s="3" t="s">
        <v>3853</v>
      </c>
      <c r="B1849" s="3" t="str">
        <f>"044384129"</f>
        <v>044384129</v>
      </c>
      <c r="C1849" s="3" t="s">
        <v>2974</v>
      </c>
      <c r="D1849" s="3" t="s">
        <v>3856</v>
      </c>
      <c r="E1849" s="3" t="s">
        <v>1529</v>
      </c>
      <c r="F1849" s="2">
        <v>43617</v>
      </c>
      <c r="G1849" s="2"/>
      <c r="H1849" s="2923" t="s">
        <v>17</v>
      </c>
      <c r="I1849" s="2924" t="s">
        <v>18</v>
      </c>
      <c r="J1849" s="3" t="s">
        <v>19</v>
      </c>
      <c r="K1849" s="3"/>
    </row>
    <row r="1850" spans="1:11" ht="43.2" x14ac:dyDescent="0.3">
      <c r="A1850" s="3" t="s">
        <v>3853</v>
      </c>
      <c r="B1850" s="3" t="str">
        <f>"044384182"</f>
        <v>044384182</v>
      </c>
      <c r="C1850" s="3" t="s">
        <v>2974</v>
      </c>
      <c r="D1850" s="3" t="s">
        <v>3857</v>
      </c>
      <c r="E1850" s="3" t="s">
        <v>1529</v>
      </c>
      <c r="F1850" s="2">
        <v>43617</v>
      </c>
      <c r="G1850" s="2"/>
      <c r="H1850" s="2925" t="s">
        <v>17</v>
      </c>
      <c r="I1850" s="2926" t="s">
        <v>18</v>
      </c>
      <c r="J1850" s="3" t="s">
        <v>19</v>
      </c>
      <c r="K1850" s="3"/>
    </row>
    <row r="1851" spans="1:11" ht="43.2" x14ac:dyDescent="0.3">
      <c r="A1851" s="3" t="s">
        <v>3853</v>
      </c>
      <c r="B1851" s="3" t="str">
        <f>"044384271"</f>
        <v>044384271</v>
      </c>
      <c r="C1851" s="3" t="s">
        <v>2974</v>
      </c>
      <c r="D1851" s="3" t="s">
        <v>3858</v>
      </c>
      <c r="E1851" s="3" t="s">
        <v>1529</v>
      </c>
      <c r="F1851" s="2">
        <v>43617</v>
      </c>
      <c r="G1851" s="2"/>
      <c r="H1851" s="2927" t="s">
        <v>17</v>
      </c>
      <c r="I1851" s="2928" t="s">
        <v>18</v>
      </c>
      <c r="J1851" s="3" t="s">
        <v>19</v>
      </c>
      <c r="K1851" s="3"/>
    </row>
    <row r="1852" spans="1:11" ht="43.2" x14ac:dyDescent="0.3">
      <c r="A1852" s="3" t="s">
        <v>3859</v>
      </c>
      <c r="B1852" s="3" t="str">
        <f>"045270129"</f>
        <v>045270129</v>
      </c>
      <c r="C1852" s="3"/>
      <c r="D1852" s="3" t="s">
        <v>3860</v>
      </c>
      <c r="E1852" s="3" t="s">
        <v>1529</v>
      </c>
      <c r="F1852" s="2">
        <v>44012</v>
      </c>
      <c r="G1852" s="2">
        <v>44347</v>
      </c>
      <c r="H1852" s="2929" t="s">
        <v>17</v>
      </c>
      <c r="I1852" s="3" t="s">
        <v>782</v>
      </c>
      <c r="J1852" s="3" t="s">
        <v>19</v>
      </c>
      <c r="K1852" s="3"/>
    </row>
    <row r="1853" spans="1:11" ht="43.2" x14ac:dyDescent="0.3">
      <c r="A1853" s="3" t="s">
        <v>3861</v>
      </c>
      <c r="B1853" s="3" t="str">
        <f>"042217063"</f>
        <v>042217063</v>
      </c>
      <c r="C1853" s="3" t="s">
        <v>2342</v>
      </c>
      <c r="D1853" s="3" t="s">
        <v>3862</v>
      </c>
      <c r="E1853" s="3" t="s">
        <v>3863</v>
      </c>
      <c r="F1853" s="2">
        <v>44135</v>
      </c>
      <c r="G1853" s="2"/>
      <c r="H1853" s="2930" t="s">
        <v>17</v>
      </c>
      <c r="I1853" s="2931" t="s">
        <v>32</v>
      </c>
      <c r="J1853" s="3" t="s">
        <v>19</v>
      </c>
      <c r="K1853" s="3"/>
    </row>
    <row r="1854" spans="1:11" ht="43.2" x14ac:dyDescent="0.3">
      <c r="A1854" s="3" t="s">
        <v>3864</v>
      </c>
      <c r="B1854" s="3" t="str">
        <f>"025751013"</f>
        <v>025751013</v>
      </c>
      <c r="C1854" s="3" t="s">
        <v>3865</v>
      </c>
      <c r="D1854" s="3" t="s">
        <v>3866</v>
      </c>
      <c r="E1854" s="3" t="s">
        <v>3867</v>
      </c>
      <c r="F1854" s="2">
        <v>42578</v>
      </c>
      <c r="G1854" s="2"/>
      <c r="H1854" s="2932" t="s">
        <v>37</v>
      </c>
      <c r="I1854" s="2933" t="s">
        <v>18</v>
      </c>
      <c r="J1854" s="3" t="s">
        <v>19</v>
      </c>
      <c r="K1854" s="3"/>
    </row>
    <row r="1855" spans="1:11" ht="43.2" x14ac:dyDescent="0.3">
      <c r="A1855" s="3" t="s">
        <v>3868</v>
      </c>
      <c r="B1855" s="3" t="str">
        <f>"017389103"</f>
        <v>017389103</v>
      </c>
      <c r="C1855" s="3" t="s">
        <v>3869</v>
      </c>
      <c r="D1855" s="3" t="s">
        <v>3870</v>
      </c>
      <c r="E1855" s="3" t="s">
        <v>412</v>
      </c>
      <c r="F1855" s="2">
        <v>44105</v>
      </c>
      <c r="G1855" s="2">
        <v>44150</v>
      </c>
      <c r="H1855" s="2934" t="s">
        <v>17</v>
      </c>
      <c r="I1855" s="2935" t="s">
        <v>32</v>
      </c>
      <c r="J1855" s="3" t="s">
        <v>19</v>
      </c>
      <c r="K1855" s="3"/>
    </row>
    <row r="1856" spans="1:11" ht="43.2" x14ac:dyDescent="0.3">
      <c r="A1856" s="3" t="s">
        <v>3871</v>
      </c>
      <c r="B1856" s="3" t="str">
        <f>"037008024"</f>
        <v>037008024</v>
      </c>
      <c r="C1856" s="3" t="s">
        <v>349</v>
      </c>
      <c r="D1856" s="3" t="s">
        <v>3872</v>
      </c>
      <c r="E1856" s="3" t="s">
        <v>3873</v>
      </c>
      <c r="F1856" s="2">
        <v>44166</v>
      </c>
      <c r="G1856" s="2">
        <v>44226</v>
      </c>
      <c r="H1856" s="2936" t="s">
        <v>17</v>
      </c>
      <c r="I1856" s="3" t="s">
        <v>41</v>
      </c>
      <c r="J1856" s="3" t="s">
        <v>19</v>
      </c>
      <c r="K1856" s="3"/>
    </row>
    <row r="1857" spans="1:11" ht="43.2" x14ac:dyDescent="0.3">
      <c r="A1857" s="3" t="s">
        <v>3871</v>
      </c>
      <c r="B1857" s="3" t="str">
        <f>"037008012"</f>
        <v>037008012</v>
      </c>
      <c r="C1857" s="3" t="s">
        <v>349</v>
      </c>
      <c r="D1857" s="3" t="s">
        <v>3874</v>
      </c>
      <c r="E1857" s="3" t="s">
        <v>3873</v>
      </c>
      <c r="F1857" s="2">
        <v>44256</v>
      </c>
      <c r="G1857" s="2"/>
      <c r="H1857" s="2937" t="s">
        <v>17</v>
      </c>
      <c r="I1857" s="2938" t="s">
        <v>18</v>
      </c>
      <c r="J1857" s="3" t="s">
        <v>19</v>
      </c>
      <c r="K1857" s="3"/>
    </row>
    <row r="1858" spans="1:11" ht="72" x14ac:dyDescent="0.3">
      <c r="A1858" s="3" t="s">
        <v>3875</v>
      </c>
      <c r="B1858" s="3" t="str">
        <f>"039550025"</f>
        <v>039550025</v>
      </c>
      <c r="C1858" s="3" t="s">
        <v>3876</v>
      </c>
      <c r="D1858" s="3" t="s">
        <v>3877</v>
      </c>
      <c r="E1858" s="3" t="s">
        <v>115</v>
      </c>
      <c r="F1858" s="2">
        <v>44095</v>
      </c>
      <c r="G1858" s="2">
        <v>44155</v>
      </c>
      <c r="H1858" s="2939" t="s">
        <v>37</v>
      </c>
      <c r="I1858" s="3" t="s">
        <v>178</v>
      </c>
      <c r="J1858" s="3" t="s">
        <v>156</v>
      </c>
      <c r="K1858" s="3"/>
    </row>
    <row r="1859" spans="1:11" ht="43.2" x14ac:dyDescent="0.3">
      <c r="A1859" s="3" t="s">
        <v>3878</v>
      </c>
      <c r="B1859" s="3" t="str">
        <f>"037634033"</f>
        <v>037634033</v>
      </c>
      <c r="C1859" s="3" t="s">
        <v>1364</v>
      </c>
      <c r="D1859" s="3" t="s">
        <v>3879</v>
      </c>
      <c r="E1859" s="3" t="s">
        <v>2504</v>
      </c>
      <c r="F1859" s="2">
        <v>42474</v>
      </c>
      <c r="G1859" s="2"/>
      <c r="H1859" s="2940" t="s">
        <v>37</v>
      </c>
      <c r="I1859" s="2941" t="s">
        <v>18</v>
      </c>
      <c r="J1859" s="3" t="s">
        <v>19</v>
      </c>
      <c r="K1859" s="3"/>
    </row>
    <row r="1860" spans="1:11" ht="43.2" x14ac:dyDescent="0.3">
      <c r="A1860" s="3" t="s">
        <v>3878</v>
      </c>
      <c r="B1860" s="3" t="str">
        <f>"037634045"</f>
        <v>037634045</v>
      </c>
      <c r="C1860" s="3" t="s">
        <v>1364</v>
      </c>
      <c r="D1860" s="3" t="s">
        <v>3880</v>
      </c>
      <c r="E1860" s="3" t="s">
        <v>2504</v>
      </c>
      <c r="F1860" s="2">
        <v>42474</v>
      </c>
      <c r="G1860" s="2"/>
      <c r="H1860" s="2942" t="s">
        <v>37</v>
      </c>
      <c r="I1860" s="2943" t="s">
        <v>18</v>
      </c>
      <c r="J1860" s="3" t="s">
        <v>19</v>
      </c>
      <c r="K1860" s="3"/>
    </row>
    <row r="1861" spans="1:11" ht="43.2" x14ac:dyDescent="0.3">
      <c r="A1861" s="3" t="s">
        <v>3881</v>
      </c>
      <c r="B1861" s="3" t="str">
        <f>"025904044"</f>
        <v>025904044</v>
      </c>
      <c r="C1861" s="3" t="s">
        <v>3882</v>
      </c>
      <c r="D1861" s="3" t="s">
        <v>3883</v>
      </c>
      <c r="E1861" s="3" t="s">
        <v>59</v>
      </c>
      <c r="F1861" s="2">
        <v>43252</v>
      </c>
      <c r="G1861" s="2"/>
      <c r="H1861" s="2944" t="s">
        <v>17</v>
      </c>
      <c r="I1861" s="2945" t="s">
        <v>32</v>
      </c>
      <c r="J1861" s="3" t="s">
        <v>19</v>
      </c>
      <c r="K1861" s="3"/>
    </row>
    <row r="1862" spans="1:11" ht="43.2" x14ac:dyDescent="0.3">
      <c r="A1862" s="3" t="s">
        <v>3881</v>
      </c>
      <c r="B1862" s="3" t="str">
        <f>"025904057"</f>
        <v>025904057</v>
      </c>
      <c r="C1862" s="3" t="s">
        <v>3882</v>
      </c>
      <c r="D1862" s="3" t="s">
        <v>3884</v>
      </c>
      <c r="E1862" s="3" t="s">
        <v>59</v>
      </c>
      <c r="F1862" s="2">
        <v>43252</v>
      </c>
      <c r="G1862" s="2"/>
      <c r="H1862" s="2946" t="s">
        <v>17</v>
      </c>
      <c r="I1862" s="2947" t="s">
        <v>32</v>
      </c>
      <c r="J1862" s="3" t="s">
        <v>19</v>
      </c>
      <c r="K1862" s="3"/>
    </row>
    <row r="1863" spans="1:11" ht="86.4" x14ac:dyDescent="0.3">
      <c r="A1863" s="3" t="s">
        <v>3885</v>
      </c>
      <c r="B1863" s="3" t="str">
        <f>"034199075"</f>
        <v>034199075</v>
      </c>
      <c r="C1863" s="3" t="s">
        <v>3886</v>
      </c>
      <c r="D1863" s="3" t="s">
        <v>3887</v>
      </c>
      <c r="E1863" s="3" t="s">
        <v>604</v>
      </c>
      <c r="F1863" s="2">
        <v>43027</v>
      </c>
      <c r="G1863" s="2"/>
      <c r="H1863" s="2948" t="s">
        <v>17</v>
      </c>
      <c r="I1863" s="2949" t="s">
        <v>18</v>
      </c>
      <c r="J1863" s="3" t="s">
        <v>240</v>
      </c>
      <c r="K1863" s="3"/>
    </row>
    <row r="1864" spans="1:11" ht="86.4" x14ac:dyDescent="0.3">
      <c r="A1864" s="3" t="s">
        <v>3888</v>
      </c>
      <c r="B1864" s="3" t="str">
        <f>"038200059"</f>
        <v>038200059</v>
      </c>
      <c r="C1864" s="3" t="s">
        <v>3889</v>
      </c>
      <c r="D1864" s="3" t="s">
        <v>3890</v>
      </c>
      <c r="E1864" s="3" t="s">
        <v>604</v>
      </c>
      <c r="F1864" s="2">
        <v>43466</v>
      </c>
      <c r="G1864" s="2">
        <v>44196</v>
      </c>
      <c r="H1864" s="2950" t="s">
        <v>17</v>
      </c>
      <c r="I1864" s="3" t="s">
        <v>41</v>
      </c>
      <c r="J1864" s="3" t="s">
        <v>19</v>
      </c>
      <c r="K1864" s="3"/>
    </row>
    <row r="1865" spans="1:11" ht="86.4" x14ac:dyDescent="0.3">
      <c r="A1865" s="3" t="s">
        <v>3888</v>
      </c>
      <c r="B1865" s="3" t="str">
        <f>"038200061"</f>
        <v>038200061</v>
      </c>
      <c r="C1865" s="3" t="s">
        <v>3889</v>
      </c>
      <c r="D1865" s="3" t="s">
        <v>3891</v>
      </c>
      <c r="E1865" s="3" t="s">
        <v>604</v>
      </c>
      <c r="F1865" s="2">
        <v>43466</v>
      </c>
      <c r="G1865" s="2">
        <v>44196</v>
      </c>
      <c r="H1865" s="2951" t="s">
        <v>17</v>
      </c>
      <c r="I1865" s="3" t="s">
        <v>41</v>
      </c>
      <c r="J1865" s="3" t="s">
        <v>19</v>
      </c>
      <c r="K1865" s="3"/>
    </row>
    <row r="1866" spans="1:11" ht="43.2" x14ac:dyDescent="0.3">
      <c r="A1866" s="3" t="s">
        <v>3892</v>
      </c>
      <c r="B1866" s="3" t="str">
        <f>"034326126"</f>
        <v>034326126</v>
      </c>
      <c r="C1866" s="3" t="s">
        <v>3893</v>
      </c>
      <c r="D1866" s="3" t="s">
        <v>3894</v>
      </c>
      <c r="E1866" s="3" t="s">
        <v>1255</v>
      </c>
      <c r="F1866" s="2">
        <v>44076</v>
      </c>
      <c r="G1866" s="2">
        <v>44227</v>
      </c>
      <c r="H1866" s="2952" t="s">
        <v>17</v>
      </c>
      <c r="I1866" s="3" t="s">
        <v>152</v>
      </c>
      <c r="J1866" s="3" t="s">
        <v>19</v>
      </c>
      <c r="K1866" s="3"/>
    </row>
    <row r="1867" spans="1:11" ht="57.6" x14ac:dyDescent="0.3">
      <c r="A1867" s="3" t="s">
        <v>3895</v>
      </c>
      <c r="B1867" s="3" t="str">
        <f>"039712017"</f>
        <v>039712017</v>
      </c>
      <c r="C1867" s="3" t="s">
        <v>2361</v>
      </c>
      <c r="D1867" s="3" t="s">
        <v>3896</v>
      </c>
      <c r="E1867" s="3" t="s">
        <v>218</v>
      </c>
      <c r="F1867" s="2">
        <v>44090</v>
      </c>
      <c r="G1867" s="2">
        <v>44561</v>
      </c>
      <c r="H1867" s="2953" t="s">
        <v>17</v>
      </c>
      <c r="I1867" s="3" t="s">
        <v>152</v>
      </c>
      <c r="J1867" s="3" t="s">
        <v>19</v>
      </c>
      <c r="K1867" s="3"/>
    </row>
    <row r="1868" spans="1:11" ht="57.6" x14ac:dyDescent="0.3">
      <c r="A1868" s="3" t="s">
        <v>3895</v>
      </c>
      <c r="B1868" s="3" t="str">
        <f>"039712029"</f>
        <v>039712029</v>
      </c>
      <c r="C1868" s="3" t="s">
        <v>2361</v>
      </c>
      <c r="D1868" s="3" t="s">
        <v>3897</v>
      </c>
      <c r="E1868" s="3" t="s">
        <v>218</v>
      </c>
      <c r="F1868" s="2">
        <v>44090</v>
      </c>
      <c r="G1868" s="2">
        <v>44561</v>
      </c>
      <c r="H1868" s="2954" t="s">
        <v>17</v>
      </c>
      <c r="I1868" s="3" t="s">
        <v>152</v>
      </c>
      <c r="J1868" s="3" t="s">
        <v>19</v>
      </c>
      <c r="K1868" s="3"/>
    </row>
    <row r="1869" spans="1:11" ht="57.6" x14ac:dyDescent="0.3">
      <c r="A1869" s="3" t="s">
        <v>3895</v>
      </c>
      <c r="B1869" s="3" t="str">
        <f>"039712031"</f>
        <v>039712031</v>
      </c>
      <c r="C1869" s="3" t="s">
        <v>2361</v>
      </c>
      <c r="D1869" s="3" t="s">
        <v>3898</v>
      </c>
      <c r="E1869" s="3" t="s">
        <v>218</v>
      </c>
      <c r="F1869" s="2">
        <v>44090</v>
      </c>
      <c r="G1869" s="2">
        <v>44561</v>
      </c>
      <c r="H1869" s="2955" t="s">
        <v>17</v>
      </c>
      <c r="I1869" s="3" t="s">
        <v>152</v>
      </c>
      <c r="J1869" s="3" t="s">
        <v>19</v>
      </c>
      <c r="K1869" s="3"/>
    </row>
    <row r="1870" spans="1:11" ht="57.6" x14ac:dyDescent="0.3">
      <c r="A1870" s="3" t="s">
        <v>3895</v>
      </c>
      <c r="B1870" s="3" t="str">
        <f>"039712043"</f>
        <v>039712043</v>
      </c>
      <c r="C1870" s="3" t="s">
        <v>2361</v>
      </c>
      <c r="D1870" s="3" t="s">
        <v>3899</v>
      </c>
      <c r="E1870" s="3" t="s">
        <v>218</v>
      </c>
      <c r="F1870" s="2">
        <v>44090</v>
      </c>
      <c r="G1870" s="2">
        <v>44561</v>
      </c>
      <c r="H1870" s="2956" t="s">
        <v>37</v>
      </c>
      <c r="I1870" s="3" t="s">
        <v>152</v>
      </c>
      <c r="J1870" s="3" t="s">
        <v>19</v>
      </c>
      <c r="K1870" s="3"/>
    </row>
    <row r="1871" spans="1:11" ht="57.6" x14ac:dyDescent="0.3">
      <c r="A1871" s="3" t="s">
        <v>3900</v>
      </c>
      <c r="B1871" s="3" t="str">
        <f>"030682013"</f>
        <v>030682013</v>
      </c>
      <c r="C1871" s="3" t="s">
        <v>3901</v>
      </c>
      <c r="D1871" s="3" t="s">
        <v>3902</v>
      </c>
      <c r="E1871" s="3" t="s">
        <v>1802</v>
      </c>
      <c r="F1871" s="2">
        <v>42917</v>
      </c>
      <c r="G1871" s="2"/>
      <c r="H1871" s="2957" t="s">
        <v>37</v>
      </c>
      <c r="I1871" s="3" t="s">
        <v>41</v>
      </c>
      <c r="J1871" s="3" t="s">
        <v>156</v>
      </c>
      <c r="K1871" s="3"/>
    </row>
    <row r="1872" spans="1:11" ht="43.2" x14ac:dyDescent="0.3">
      <c r="A1872" s="3" t="s">
        <v>3903</v>
      </c>
      <c r="B1872" s="3" t="str">
        <f>"032013029"</f>
        <v>032013029</v>
      </c>
      <c r="C1872" s="3" t="s">
        <v>3904</v>
      </c>
      <c r="D1872" s="3" t="s">
        <v>3905</v>
      </c>
      <c r="E1872" s="3" t="s">
        <v>270</v>
      </c>
      <c r="F1872" s="2">
        <v>43257</v>
      </c>
      <c r="G1872" s="2"/>
      <c r="H1872" s="2958" t="s">
        <v>37</v>
      </c>
      <c r="I1872" s="2959" t="s">
        <v>18</v>
      </c>
      <c r="J1872" s="3" t="s">
        <v>19</v>
      </c>
      <c r="K1872" s="3"/>
    </row>
    <row r="1873" spans="1:11" ht="86.4" x14ac:dyDescent="0.3">
      <c r="A1873" s="3" t="s">
        <v>3906</v>
      </c>
      <c r="B1873" s="3" t="str">
        <f>"027131010"</f>
        <v>027131010</v>
      </c>
      <c r="C1873" s="3" t="s">
        <v>3907</v>
      </c>
      <c r="D1873" s="3" t="s">
        <v>3908</v>
      </c>
      <c r="E1873" s="3" t="s">
        <v>1848</v>
      </c>
      <c r="F1873" s="2">
        <v>43924</v>
      </c>
      <c r="G1873" s="2">
        <v>43982</v>
      </c>
      <c r="H1873" s="2960" t="s">
        <v>37</v>
      </c>
      <c r="I1873" s="3" t="s">
        <v>41</v>
      </c>
      <c r="J1873" s="3" t="s">
        <v>156</v>
      </c>
      <c r="K1873" s="3"/>
    </row>
    <row r="1874" spans="1:11" ht="57.6" x14ac:dyDescent="0.3">
      <c r="A1874" s="3" t="s">
        <v>3909</v>
      </c>
      <c r="B1874" s="3" t="str">
        <f>"005375062"</f>
        <v>005375062</v>
      </c>
      <c r="C1874" s="3" t="s">
        <v>3910</v>
      </c>
      <c r="D1874" s="3" t="s">
        <v>3911</v>
      </c>
      <c r="E1874" s="3" t="s">
        <v>151</v>
      </c>
      <c r="F1874" s="2">
        <v>43524</v>
      </c>
      <c r="G1874" s="2">
        <v>44227</v>
      </c>
      <c r="H1874" s="2961" t="s">
        <v>37</v>
      </c>
      <c r="I1874" s="3" t="s">
        <v>41</v>
      </c>
      <c r="J1874" s="3" t="s">
        <v>19</v>
      </c>
      <c r="K1874" s="3"/>
    </row>
    <row r="1875" spans="1:11" ht="43.2" x14ac:dyDescent="0.3">
      <c r="A1875" s="3" t="s">
        <v>3912</v>
      </c>
      <c r="B1875" s="3" t="str">
        <f>"034318117"</f>
        <v>034318117</v>
      </c>
      <c r="C1875" s="3" t="s">
        <v>1383</v>
      </c>
      <c r="D1875" s="3" t="s">
        <v>3913</v>
      </c>
      <c r="E1875" s="3" t="s">
        <v>1658</v>
      </c>
      <c r="F1875" s="2">
        <v>42430</v>
      </c>
      <c r="G1875" s="2"/>
      <c r="H1875" s="2962" t="s">
        <v>17</v>
      </c>
      <c r="I1875" s="2963" t="s">
        <v>18</v>
      </c>
      <c r="J1875" s="3" t="s">
        <v>19</v>
      </c>
      <c r="K1875" s="3"/>
    </row>
    <row r="1876" spans="1:11" ht="43.2" x14ac:dyDescent="0.3">
      <c r="A1876" s="3" t="s">
        <v>3912</v>
      </c>
      <c r="B1876" s="3" t="str">
        <f>"034318081"</f>
        <v>034318081</v>
      </c>
      <c r="C1876" s="3" t="s">
        <v>1383</v>
      </c>
      <c r="D1876" s="3" t="s">
        <v>3914</v>
      </c>
      <c r="E1876" s="3" t="s">
        <v>1658</v>
      </c>
      <c r="F1876" s="2">
        <v>42430</v>
      </c>
      <c r="G1876" s="2"/>
      <c r="H1876" s="2964" t="s">
        <v>17</v>
      </c>
      <c r="I1876" s="2965" t="s">
        <v>18</v>
      </c>
      <c r="J1876" s="3" t="s">
        <v>19</v>
      </c>
      <c r="K1876" s="3"/>
    </row>
    <row r="1877" spans="1:11" ht="43.2" x14ac:dyDescent="0.3">
      <c r="A1877" s="3" t="s">
        <v>3912</v>
      </c>
      <c r="B1877" s="3" t="str">
        <f>"034318055"</f>
        <v>034318055</v>
      </c>
      <c r="C1877" s="3" t="s">
        <v>1383</v>
      </c>
      <c r="D1877" s="3" t="s">
        <v>3915</v>
      </c>
      <c r="E1877" s="3" t="s">
        <v>1658</v>
      </c>
      <c r="F1877" s="2">
        <v>41912</v>
      </c>
      <c r="G1877" s="2"/>
      <c r="H1877" s="2966" t="s">
        <v>17</v>
      </c>
      <c r="I1877" s="2967" t="s">
        <v>18</v>
      </c>
      <c r="J1877" s="3" t="s">
        <v>19</v>
      </c>
      <c r="K1877" s="3"/>
    </row>
    <row r="1878" spans="1:11" ht="43.2" x14ac:dyDescent="0.3">
      <c r="A1878" s="3" t="s">
        <v>3912</v>
      </c>
      <c r="B1878" s="3" t="str">
        <f>"034318028"</f>
        <v>034318028</v>
      </c>
      <c r="C1878" s="3" t="s">
        <v>1383</v>
      </c>
      <c r="D1878" s="3" t="s">
        <v>3916</v>
      </c>
      <c r="E1878" s="3" t="s">
        <v>1658</v>
      </c>
      <c r="F1878" s="2">
        <v>42430</v>
      </c>
      <c r="G1878" s="2"/>
      <c r="H1878" s="2968" t="s">
        <v>17</v>
      </c>
      <c r="I1878" s="2969" t="s">
        <v>18</v>
      </c>
      <c r="J1878" s="3" t="s">
        <v>19</v>
      </c>
      <c r="K1878" s="3"/>
    </row>
    <row r="1879" spans="1:11" ht="43.2" x14ac:dyDescent="0.3">
      <c r="A1879" s="3" t="s">
        <v>3917</v>
      </c>
      <c r="B1879" s="3" t="str">
        <f>"033074016"</f>
        <v>033074016</v>
      </c>
      <c r="C1879" s="3" t="s">
        <v>3918</v>
      </c>
      <c r="D1879" s="3" t="s">
        <v>3919</v>
      </c>
      <c r="E1879" s="3" t="s">
        <v>126</v>
      </c>
      <c r="F1879" s="2">
        <v>42292</v>
      </c>
      <c r="G1879" s="2"/>
      <c r="H1879" s="2970" t="s">
        <v>17</v>
      </c>
      <c r="I1879" s="2971" t="s">
        <v>18</v>
      </c>
      <c r="J1879" s="3" t="s">
        <v>19</v>
      </c>
      <c r="K1879" s="3"/>
    </row>
    <row r="1880" spans="1:11" ht="43.2" x14ac:dyDescent="0.3">
      <c r="A1880" s="3" t="s">
        <v>3917</v>
      </c>
      <c r="B1880" s="3" t="str">
        <f>"033074028"</f>
        <v>033074028</v>
      </c>
      <c r="C1880" s="3" t="s">
        <v>3918</v>
      </c>
      <c r="D1880" s="3" t="s">
        <v>3920</v>
      </c>
      <c r="E1880" s="3" t="s">
        <v>126</v>
      </c>
      <c r="F1880" s="2">
        <v>42417</v>
      </c>
      <c r="G1880" s="2"/>
      <c r="H1880" s="2972" t="s">
        <v>17</v>
      </c>
      <c r="I1880" s="2973" t="s">
        <v>18</v>
      </c>
      <c r="J1880" s="3" t="s">
        <v>19</v>
      </c>
      <c r="K1880" s="3"/>
    </row>
    <row r="1881" spans="1:11" ht="43.2" x14ac:dyDescent="0.3">
      <c r="A1881" s="3" t="s">
        <v>3921</v>
      </c>
      <c r="B1881" s="3" t="str">
        <f>"027069018"</f>
        <v>027069018</v>
      </c>
      <c r="C1881" s="3" t="s">
        <v>1178</v>
      </c>
      <c r="D1881" s="3" t="s">
        <v>3922</v>
      </c>
      <c r="E1881" s="3" t="s">
        <v>3923</v>
      </c>
      <c r="F1881" s="2">
        <v>43194</v>
      </c>
      <c r="G1881" s="2"/>
      <c r="H1881" s="2974" t="s">
        <v>17</v>
      </c>
      <c r="I1881" s="3" t="s">
        <v>41</v>
      </c>
      <c r="J1881" s="3" t="s">
        <v>19</v>
      </c>
      <c r="K1881" s="3"/>
    </row>
    <row r="1882" spans="1:11" ht="43.2" x14ac:dyDescent="0.3">
      <c r="A1882" s="3" t="s">
        <v>3921</v>
      </c>
      <c r="B1882" s="3" t="str">
        <f>"027069020"</f>
        <v>027069020</v>
      </c>
      <c r="C1882" s="3" t="s">
        <v>1178</v>
      </c>
      <c r="D1882" s="3" t="s">
        <v>3924</v>
      </c>
      <c r="E1882" s="3" t="s">
        <v>3923</v>
      </c>
      <c r="F1882" s="2">
        <v>43227</v>
      </c>
      <c r="G1882" s="2"/>
      <c r="H1882" s="2975" t="s">
        <v>17</v>
      </c>
      <c r="I1882" s="3" t="s">
        <v>782</v>
      </c>
      <c r="J1882" s="3" t="s">
        <v>19</v>
      </c>
      <c r="K1882" s="3"/>
    </row>
    <row r="1883" spans="1:11" ht="43.2" x14ac:dyDescent="0.3">
      <c r="A1883" s="3" t="s">
        <v>3921</v>
      </c>
      <c r="B1883" s="3" t="str">
        <f>"027069032"</f>
        <v>027069032</v>
      </c>
      <c r="C1883" s="3" t="s">
        <v>1178</v>
      </c>
      <c r="D1883" s="3" t="s">
        <v>3925</v>
      </c>
      <c r="E1883" s="3" t="s">
        <v>3923</v>
      </c>
      <c r="F1883" s="2">
        <v>43235</v>
      </c>
      <c r="G1883" s="2"/>
      <c r="H1883" s="2976" t="s">
        <v>17</v>
      </c>
      <c r="I1883" s="3" t="s">
        <v>782</v>
      </c>
      <c r="J1883" s="3" t="s">
        <v>19</v>
      </c>
      <c r="K1883" s="3"/>
    </row>
    <row r="1884" spans="1:11" ht="43.2" x14ac:dyDescent="0.3">
      <c r="A1884" s="3" t="s">
        <v>3926</v>
      </c>
      <c r="B1884" s="3" t="str">
        <f>"034237026"</f>
        <v>034237026</v>
      </c>
      <c r="C1884" s="3" t="s">
        <v>1983</v>
      </c>
      <c r="D1884" s="3" t="s">
        <v>3927</v>
      </c>
      <c r="E1884" s="3" t="s">
        <v>438</v>
      </c>
      <c r="F1884" s="2">
        <v>43919</v>
      </c>
      <c r="G1884" s="2"/>
      <c r="H1884" s="2977" t="s">
        <v>17</v>
      </c>
      <c r="I1884" s="3" t="s">
        <v>152</v>
      </c>
      <c r="J1884" s="3" t="s">
        <v>19</v>
      </c>
      <c r="K1884" s="3"/>
    </row>
    <row r="1885" spans="1:11" ht="43.2" x14ac:dyDescent="0.3">
      <c r="A1885" s="3" t="s">
        <v>3926</v>
      </c>
      <c r="B1885" s="3" t="str">
        <f>"034237040"</f>
        <v>034237040</v>
      </c>
      <c r="C1885" s="3" t="s">
        <v>1983</v>
      </c>
      <c r="D1885" s="3" t="s">
        <v>3928</v>
      </c>
      <c r="E1885" s="3" t="s">
        <v>438</v>
      </c>
      <c r="F1885" s="2">
        <v>43921</v>
      </c>
      <c r="G1885" s="2"/>
      <c r="H1885" s="2978" t="s">
        <v>17</v>
      </c>
      <c r="I1885" s="3" t="s">
        <v>152</v>
      </c>
      <c r="J1885" s="3" t="s">
        <v>19</v>
      </c>
      <c r="K1885" s="3"/>
    </row>
    <row r="1886" spans="1:11" ht="57.6" x14ac:dyDescent="0.3">
      <c r="A1886" s="3" t="s">
        <v>3929</v>
      </c>
      <c r="B1886" s="3" t="str">
        <f>"035911054"</f>
        <v>035911054</v>
      </c>
      <c r="C1886" s="3" t="s">
        <v>1491</v>
      </c>
      <c r="D1886" s="3" t="s">
        <v>3930</v>
      </c>
      <c r="E1886" s="3" t="s">
        <v>785</v>
      </c>
      <c r="F1886" s="2">
        <v>43907</v>
      </c>
      <c r="G1886" s="2">
        <v>44227</v>
      </c>
      <c r="H1886" s="2979" t="s">
        <v>17</v>
      </c>
      <c r="I1886" s="3" t="s">
        <v>178</v>
      </c>
      <c r="J1886" s="3" t="s">
        <v>156</v>
      </c>
      <c r="K1886" s="3"/>
    </row>
    <row r="1887" spans="1:11" ht="57.6" x14ac:dyDescent="0.3">
      <c r="A1887" s="3" t="s">
        <v>3929</v>
      </c>
      <c r="B1887" s="3" t="str">
        <f>"035911078"</f>
        <v>035911078</v>
      </c>
      <c r="C1887" s="3" t="s">
        <v>1491</v>
      </c>
      <c r="D1887" s="3" t="s">
        <v>3931</v>
      </c>
      <c r="E1887" s="3" t="s">
        <v>785</v>
      </c>
      <c r="F1887" s="2">
        <v>44127</v>
      </c>
      <c r="G1887" s="2">
        <v>44227</v>
      </c>
      <c r="H1887" s="2980" t="s">
        <v>17</v>
      </c>
      <c r="I1887" s="3" t="s">
        <v>178</v>
      </c>
      <c r="J1887" s="3" t="s">
        <v>156</v>
      </c>
      <c r="K1887" s="3"/>
    </row>
    <row r="1888" spans="1:11" ht="57.6" x14ac:dyDescent="0.3">
      <c r="A1888" s="3" t="s">
        <v>3932</v>
      </c>
      <c r="B1888" s="3" t="str">
        <f>"036849038"</f>
        <v>036849038</v>
      </c>
      <c r="C1888" s="3" t="s">
        <v>1491</v>
      </c>
      <c r="D1888" s="3" t="s">
        <v>3933</v>
      </c>
      <c r="E1888" s="3" t="s">
        <v>239</v>
      </c>
      <c r="F1888" s="2">
        <v>44072</v>
      </c>
      <c r="G1888" s="2"/>
      <c r="H1888" s="2981" t="s">
        <v>17</v>
      </c>
      <c r="I1888" s="2982" t="s">
        <v>32</v>
      </c>
      <c r="J1888" s="3" t="s">
        <v>156</v>
      </c>
      <c r="K1888" s="3"/>
    </row>
    <row r="1889" spans="1:11" ht="57.6" x14ac:dyDescent="0.3">
      <c r="A1889" s="3" t="s">
        <v>3932</v>
      </c>
      <c r="B1889" s="3" t="str">
        <f>"036849091"</f>
        <v>036849091</v>
      </c>
      <c r="C1889" s="3" t="s">
        <v>1491</v>
      </c>
      <c r="D1889" s="3" t="s">
        <v>3934</v>
      </c>
      <c r="E1889" s="3" t="s">
        <v>239</v>
      </c>
      <c r="F1889" s="2">
        <v>43913</v>
      </c>
      <c r="G1889" s="2">
        <v>44171</v>
      </c>
      <c r="H1889" s="2983" t="s">
        <v>17</v>
      </c>
      <c r="I1889" s="3" t="s">
        <v>178</v>
      </c>
      <c r="J1889" s="3" t="s">
        <v>156</v>
      </c>
      <c r="K1889" s="3"/>
    </row>
    <row r="1890" spans="1:11" ht="57.6" x14ac:dyDescent="0.3">
      <c r="A1890" s="3" t="s">
        <v>3932</v>
      </c>
      <c r="B1890" s="3" t="str">
        <f>"036849127"</f>
        <v>036849127</v>
      </c>
      <c r="C1890" s="3" t="s">
        <v>1491</v>
      </c>
      <c r="D1890" s="3" t="s">
        <v>3935</v>
      </c>
      <c r="E1890" s="3" t="s">
        <v>239</v>
      </c>
      <c r="F1890" s="2">
        <v>43913</v>
      </c>
      <c r="G1890" s="2">
        <v>44150</v>
      </c>
      <c r="H1890" s="2984" t="s">
        <v>17</v>
      </c>
      <c r="I1890" s="3" t="s">
        <v>178</v>
      </c>
      <c r="J1890" s="3" t="s">
        <v>156</v>
      </c>
      <c r="K1890" s="3"/>
    </row>
    <row r="1891" spans="1:11" ht="43.2" x14ac:dyDescent="0.3">
      <c r="A1891" s="3" t="s">
        <v>3936</v>
      </c>
      <c r="B1891" s="3" t="str">
        <f>"028308017"</f>
        <v>028308017</v>
      </c>
      <c r="C1891" s="3" t="s">
        <v>1983</v>
      </c>
      <c r="D1891" s="3" t="s">
        <v>3937</v>
      </c>
      <c r="E1891" s="3" t="s">
        <v>438</v>
      </c>
      <c r="F1891" s="2">
        <v>43929</v>
      </c>
      <c r="G1891" s="2"/>
      <c r="H1891" s="2985" t="s">
        <v>17</v>
      </c>
      <c r="I1891" s="3" t="s">
        <v>152</v>
      </c>
      <c r="J1891" s="3" t="s">
        <v>19</v>
      </c>
      <c r="K1891" s="3"/>
    </row>
    <row r="1892" spans="1:11" ht="57.6" x14ac:dyDescent="0.3">
      <c r="A1892" s="3" t="s">
        <v>3938</v>
      </c>
      <c r="B1892" s="3" t="str">
        <f>"004698027"</f>
        <v>004698027</v>
      </c>
      <c r="C1892" s="3" t="s">
        <v>3939</v>
      </c>
      <c r="D1892" s="3" t="s">
        <v>3940</v>
      </c>
      <c r="E1892" s="3" t="s">
        <v>270</v>
      </c>
      <c r="F1892" s="2">
        <v>44112</v>
      </c>
      <c r="G1892" s="2">
        <v>44561</v>
      </c>
      <c r="H1892" s="2986" t="s">
        <v>37</v>
      </c>
      <c r="I1892" s="3" t="s">
        <v>41</v>
      </c>
      <c r="J1892" s="3" t="s">
        <v>156</v>
      </c>
      <c r="K1892" s="3"/>
    </row>
    <row r="1893" spans="1:11" ht="43.2" x14ac:dyDescent="0.3">
      <c r="A1893" s="3" t="s">
        <v>3941</v>
      </c>
      <c r="B1893" s="3" t="str">
        <f>"036558031"</f>
        <v>036558031</v>
      </c>
      <c r="C1893" s="3" t="s">
        <v>3568</v>
      </c>
      <c r="D1893" s="3" t="s">
        <v>3569</v>
      </c>
      <c r="E1893" s="3" t="s">
        <v>3537</v>
      </c>
      <c r="F1893" s="2">
        <v>42948</v>
      </c>
      <c r="G1893" s="2"/>
      <c r="H1893" s="2987" t="s">
        <v>37</v>
      </c>
      <c r="I1893" s="2988" t="s">
        <v>18</v>
      </c>
      <c r="J1893" s="3" t="s">
        <v>19</v>
      </c>
      <c r="K1893" s="3"/>
    </row>
    <row r="1894" spans="1:11" ht="72" x14ac:dyDescent="0.3">
      <c r="A1894" s="3" t="s">
        <v>3942</v>
      </c>
      <c r="B1894" s="3" t="str">
        <f>"023288032"</f>
        <v>023288032</v>
      </c>
      <c r="C1894" s="3" t="s">
        <v>3943</v>
      </c>
      <c r="D1894" s="3" t="s">
        <v>3944</v>
      </c>
      <c r="E1894" s="3" t="s">
        <v>177</v>
      </c>
      <c r="F1894" s="2">
        <v>42705</v>
      </c>
      <c r="G1894" s="2"/>
      <c r="H1894" s="2989" t="s">
        <v>37</v>
      </c>
      <c r="I1894" s="2990" t="s">
        <v>18</v>
      </c>
      <c r="J1894" s="3" t="s">
        <v>19</v>
      </c>
      <c r="K1894" s="3"/>
    </row>
    <row r="1895" spans="1:11" ht="72" x14ac:dyDescent="0.3">
      <c r="A1895" s="3" t="s">
        <v>3945</v>
      </c>
      <c r="B1895" s="3" t="str">
        <f>"040010011"</f>
        <v>040010011</v>
      </c>
      <c r="C1895" s="3" t="s">
        <v>3946</v>
      </c>
      <c r="D1895" s="3" t="s">
        <v>3947</v>
      </c>
      <c r="E1895" s="3" t="s">
        <v>315</v>
      </c>
      <c r="F1895" s="2">
        <v>43678</v>
      </c>
      <c r="G1895" s="2"/>
      <c r="H1895" s="2991" t="s">
        <v>17</v>
      </c>
      <c r="I1895" s="3" t="s">
        <v>41</v>
      </c>
      <c r="J1895" s="3" t="s">
        <v>19</v>
      </c>
      <c r="K1895" s="3"/>
    </row>
    <row r="1896" spans="1:11" ht="72" x14ac:dyDescent="0.3">
      <c r="A1896" s="3" t="s">
        <v>3945</v>
      </c>
      <c r="B1896" s="3" t="str">
        <f>"040010023"</f>
        <v>040010023</v>
      </c>
      <c r="C1896" s="3" t="s">
        <v>3946</v>
      </c>
      <c r="D1896" s="3" t="s">
        <v>3948</v>
      </c>
      <c r="E1896" s="3" t="s">
        <v>315</v>
      </c>
      <c r="F1896" s="2">
        <v>43678</v>
      </c>
      <c r="G1896" s="2"/>
      <c r="H1896" s="2992" t="s">
        <v>17</v>
      </c>
      <c r="I1896" s="3" t="s">
        <v>41</v>
      </c>
      <c r="J1896" s="3" t="s">
        <v>19</v>
      </c>
      <c r="K1896" s="3"/>
    </row>
    <row r="1897" spans="1:11" ht="72" x14ac:dyDescent="0.3">
      <c r="A1897" s="3" t="s">
        <v>3945</v>
      </c>
      <c r="B1897" s="3" t="str">
        <f>"040010035"</f>
        <v>040010035</v>
      </c>
      <c r="C1897" s="3" t="s">
        <v>3946</v>
      </c>
      <c r="D1897" s="3" t="s">
        <v>3949</v>
      </c>
      <c r="E1897" s="3" t="s">
        <v>315</v>
      </c>
      <c r="F1897" s="2">
        <v>43678</v>
      </c>
      <c r="G1897" s="2"/>
      <c r="H1897" s="2993" t="s">
        <v>17</v>
      </c>
      <c r="I1897" s="3" t="s">
        <v>41</v>
      </c>
      <c r="J1897" s="3" t="s">
        <v>19</v>
      </c>
      <c r="K1897" s="3"/>
    </row>
    <row r="1898" spans="1:11" ht="43.2" x14ac:dyDescent="0.3">
      <c r="A1898" s="3" t="s">
        <v>3950</v>
      </c>
      <c r="B1898" s="3" t="str">
        <f>"025970029"</f>
        <v>025970029</v>
      </c>
      <c r="C1898" s="3" t="s">
        <v>1459</v>
      </c>
      <c r="D1898" s="3" t="s">
        <v>3951</v>
      </c>
      <c r="E1898" s="3" t="s">
        <v>2378</v>
      </c>
      <c r="F1898" s="2">
        <v>44227</v>
      </c>
      <c r="G1898" s="2"/>
      <c r="H1898" s="2994" t="s">
        <v>17</v>
      </c>
      <c r="I1898" s="2995" t="s">
        <v>18</v>
      </c>
      <c r="J1898" s="3" t="s">
        <v>19</v>
      </c>
      <c r="K1898" s="3"/>
    </row>
    <row r="1899" spans="1:11" ht="43.2" x14ac:dyDescent="0.3">
      <c r="A1899" s="3" t="s">
        <v>3950</v>
      </c>
      <c r="B1899" s="3" t="str">
        <f>"025970056"</f>
        <v>025970056</v>
      </c>
      <c r="C1899" s="3" t="s">
        <v>1459</v>
      </c>
      <c r="D1899" s="3" t="s">
        <v>3952</v>
      </c>
      <c r="E1899" s="3" t="s">
        <v>2378</v>
      </c>
      <c r="F1899" s="2">
        <v>44227</v>
      </c>
      <c r="G1899" s="2"/>
      <c r="H1899" s="2996" t="s">
        <v>17</v>
      </c>
      <c r="I1899" s="2997" t="s">
        <v>18</v>
      </c>
      <c r="J1899" s="3" t="s">
        <v>19</v>
      </c>
      <c r="K1899" s="3"/>
    </row>
    <row r="1900" spans="1:11" ht="43.2" x14ac:dyDescent="0.3">
      <c r="A1900" s="3" t="s">
        <v>3953</v>
      </c>
      <c r="B1900" s="3" t="str">
        <f>"010852022"</f>
        <v>010852022</v>
      </c>
      <c r="C1900" s="3" t="s">
        <v>3954</v>
      </c>
      <c r="D1900" s="3" t="s">
        <v>3955</v>
      </c>
      <c r="E1900" s="3" t="s">
        <v>303</v>
      </c>
      <c r="F1900" s="2">
        <v>44197</v>
      </c>
      <c r="G1900" s="2"/>
      <c r="H1900" s="2998" t="s">
        <v>17</v>
      </c>
      <c r="I1900" s="2999" t="s">
        <v>18</v>
      </c>
      <c r="J1900" s="3" t="s">
        <v>19</v>
      </c>
      <c r="K1900" s="3"/>
    </row>
    <row r="1901" spans="1:11" ht="43.2" x14ac:dyDescent="0.3">
      <c r="A1901" s="3" t="s">
        <v>3953</v>
      </c>
      <c r="B1901" s="3" t="str">
        <f>"010852046"</f>
        <v>010852046</v>
      </c>
      <c r="C1901" s="3" t="s">
        <v>3954</v>
      </c>
      <c r="D1901" s="3" t="s">
        <v>3956</v>
      </c>
      <c r="E1901" s="3" t="s">
        <v>303</v>
      </c>
      <c r="F1901" s="2">
        <v>44197</v>
      </c>
      <c r="G1901" s="2"/>
      <c r="H1901" s="3000" t="s">
        <v>17</v>
      </c>
      <c r="I1901" s="3001" t="s">
        <v>18</v>
      </c>
      <c r="J1901" s="3" t="s">
        <v>19</v>
      </c>
      <c r="K1901" s="3"/>
    </row>
    <row r="1902" spans="1:11" ht="43.2" x14ac:dyDescent="0.3">
      <c r="A1902" s="3" t="s">
        <v>3957</v>
      </c>
      <c r="B1902" s="3" t="str">
        <f>"038665016"</f>
        <v>038665016</v>
      </c>
      <c r="C1902" s="3" t="s">
        <v>3014</v>
      </c>
      <c r="D1902" s="3" t="s">
        <v>3958</v>
      </c>
      <c r="E1902" s="3" t="s">
        <v>27</v>
      </c>
      <c r="F1902" s="2">
        <v>43966</v>
      </c>
      <c r="G1902" s="2"/>
      <c r="H1902" s="3002" t="s">
        <v>17</v>
      </c>
      <c r="I1902" s="3003" t="s">
        <v>18</v>
      </c>
      <c r="J1902" s="3" t="s">
        <v>19</v>
      </c>
      <c r="K1902" s="3"/>
    </row>
    <row r="1903" spans="1:11" ht="72" x14ac:dyDescent="0.3">
      <c r="A1903" s="3" t="s">
        <v>3959</v>
      </c>
      <c r="B1903" s="3" t="str">
        <f>"033339021"</f>
        <v>033339021</v>
      </c>
      <c r="C1903" s="3" t="s">
        <v>3960</v>
      </c>
      <c r="D1903" s="3" t="s">
        <v>3961</v>
      </c>
      <c r="E1903" s="3" t="s">
        <v>315</v>
      </c>
      <c r="F1903" s="2">
        <v>43388</v>
      </c>
      <c r="G1903" s="2"/>
      <c r="H1903" s="3004" t="s">
        <v>17</v>
      </c>
      <c r="I1903" s="3005" t="s">
        <v>18</v>
      </c>
      <c r="J1903" s="3" t="s">
        <v>19</v>
      </c>
      <c r="K1903" s="3"/>
    </row>
    <row r="1904" spans="1:11" ht="72" x14ac:dyDescent="0.3">
      <c r="A1904" s="3" t="s">
        <v>3959</v>
      </c>
      <c r="B1904" s="3" t="str">
        <f>"033339019"</f>
        <v>033339019</v>
      </c>
      <c r="C1904" s="3" t="s">
        <v>3960</v>
      </c>
      <c r="D1904" s="3" t="s">
        <v>3962</v>
      </c>
      <c r="E1904" s="3" t="s">
        <v>315</v>
      </c>
      <c r="F1904" s="2">
        <v>43388</v>
      </c>
      <c r="G1904" s="2"/>
      <c r="H1904" s="3006" t="s">
        <v>17</v>
      </c>
      <c r="I1904" s="3007" t="s">
        <v>18</v>
      </c>
      <c r="J1904" s="3" t="s">
        <v>19</v>
      </c>
      <c r="K1904" s="3"/>
    </row>
    <row r="1905" spans="1:11" ht="43.2" x14ac:dyDescent="0.3">
      <c r="A1905" s="3" t="s">
        <v>3963</v>
      </c>
      <c r="B1905" s="3" t="str">
        <f>"029520184"</f>
        <v>029520184</v>
      </c>
      <c r="C1905" s="3" t="s">
        <v>3964</v>
      </c>
      <c r="D1905" s="3" t="s">
        <v>3965</v>
      </c>
      <c r="E1905" s="3" t="s">
        <v>182</v>
      </c>
      <c r="F1905" s="2">
        <v>43890</v>
      </c>
      <c r="G1905" s="2"/>
      <c r="H1905" s="3008" t="s">
        <v>37</v>
      </c>
      <c r="I1905" s="3009" t="s">
        <v>18</v>
      </c>
      <c r="J1905" s="3" t="s">
        <v>19</v>
      </c>
      <c r="K1905" s="3"/>
    </row>
    <row r="1906" spans="1:11" ht="43.2" x14ac:dyDescent="0.3">
      <c r="A1906" s="3" t="s">
        <v>3963</v>
      </c>
      <c r="B1906" s="3" t="str">
        <f>"029520234"</f>
        <v>029520234</v>
      </c>
      <c r="C1906" s="3" t="s">
        <v>3964</v>
      </c>
      <c r="D1906" s="3" t="s">
        <v>3966</v>
      </c>
      <c r="E1906" s="3" t="s">
        <v>182</v>
      </c>
      <c r="F1906" s="2">
        <v>44012</v>
      </c>
      <c r="G1906" s="2"/>
      <c r="H1906" s="3010" t="s">
        <v>37</v>
      </c>
      <c r="I1906" s="3011" t="s">
        <v>18</v>
      </c>
      <c r="J1906" s="3" t="s">
        <v>19</v>
      </c>
      <c r="K1906" s="3"/>
    </row>
    <row r="1907" spans="1:11" ht="43.2" x14ac:dyDescent="0.3">
      <c r="A1907" s="3" t="s">
        <v>3967</v>
      </c>
      <c r="B1907" s="3" t="str">
        <f>"041966096"</f>
        <v>041966096</v>
      </c>
      <c r="C1907" s="3" t="s">
        <v>3968</v>
      </c>
      <c r="D1907" s="3" t="s">
        <v>3969</v>
      </c>
      <c r="E1907" s="3" t="s">
        <v>16</v>
      </c>
      <c r="F1907" s="2">
        <v>44153</v>
      </c>
      <c r="G1907" s="2">
        <v>44286</v>
      </c>
      <c r="H1907" s="3012" t="s">
        <v>17</v>
      </c>
      <c r="I1907" s="3" t="s">
        <v>41</v>
      </c>
      <c r="J1907" s="3" t="s">
        <v>19</v>
      </c>
      <c r="K1907" s="3"/>
    </row>
    <row r="1908" spans="1:11" ht="43.2" x14ac:dyDescent="0.3">
      <c r="A1908" s="3" t="s">
        <v>3967</v>
      </c>
      <c r="B1908" s="3" t="str">
        <f>"041966045"</f>
        <v>041966045</v>
      </c>
      <c r="C1908" s="3" t="s">
        <v>3968</v>
      </c>
      <c r="D1908" s="3" t="s">
        <v>3970</v>
      </c>
      <c r="E1908" s="3" t="s">
        <v>16</v>
      </c>
      <c r="F1908" s="2">
        <v>43983</v>
      </c>
      <c r="G1908" s="2">
        <v>44227</v>
      </c>
      <c r="H1908" s="3013" t="s">
        <v>17</v>
      </c>
      <c r="I1908" s="3" t="s">
        <v>41</v>
      </c>
      <c r="J1908" s="3" t="s">
        <v>19</v>
      </c>
      <c r="K1908" s="3"/>
    </row>
    <row r="1909" spans="1:11" ht="43.2" x14ac:dyDescent="0.3">
      <c r="A1909" s="3" t="s">
        <v>3967</v>
      </c>
      <c r="B1909" s="3" t="str">
        <f>"041966223"</f>
        <v>041966223</v>
      </c>
      <c r="C1909" s="3" t="s">
        <v>3968</v>
      </c>
      <c r="D1909" s="3" t="s">
        <v>3971</v>
      </c>
      <c r="E1909" s="3" t="s">
        <v>16</v>
      </c>
      <c r="F1909" s="2">
        <v>44153</v>
      </c>
      <c r="G1909" s="2">
        <v>44286</v>
      </c>
      <c r="H1909" s="3014" t="s">
        <v>17</v>
      </c>
      <c r="I1909" s="3" t="s">
        <v>41</v>
      </c>
      <c r="J1909" s="3" t="s">
        <v>19</v>
      </c>
      <c r="K1909" s="3"/>
    </row>
    <row r="1910" spans="1:11" ht="43.2" x14ac:dyDescent="0.3">
      <c r="A1910" s="3" t="s">
        <v>3967</v>
      </c>
      <c r="B1910" s="3" t="str">
        <f>"041966375"</f>
        <v>041966375</v>
      </c>
      <c r="C1910" s="3" t="s">
        <v>3968</v>
      </c>
      <c r="D1910" s="3" t="s">
        <v>3972</v>
      </c>
      <c r="E1910" s="3" t="s">
        <v>16</v>
      </c>
      <c r="F1910" s="2">
        <v>44129</v>
      </c>
      <c r="G1910" s="2">
        <v>44227</v>
      </c>
      <c r="H1910" s="3015" t="s">
        <v>17</v>
      </c>
      <c r="I1910" s="3" t="s">
        <v>41</v>
      </c>
      <c r="J1910" s="3" t="s">
        <v>19</v>
      </c>
      <c r="K1910" s="3"/>
    </row>
    <row r="1911" spans="1:11" ht="43.2" x14ac:dyDescent="0.3">
      <c r="A1911" s="3" t="s">
        <v>3973</v>
      </c>
      <c r="B1911" s="3" t="str">
        <f>"041503071"</f>
        <v>041503071</v>
      </c>
      <c r="C1911" s="3" t="s">
        <v>3974</v>
      </c>
      <c r="D1911" s="3" t="s">
        <v>3975</v>
      </c>
      <c r="E1911" s="3" t="s">
        <v>16</v>
      </c>
      <c r="F1911" s="2">
        <v>43922</v>
      </c>
      <c r="G1911" s="2">
        <v>44227</v>
      </c>
      <c r="H1911" s="3016" t="s">
        <v>17</v>
      </c>
      <c r="I1911" s="3" t="s">
        <v>41</v>
      </c>
      <c r="J1911" s="3" t="s">
        <v>19</v>
      </c>
      <c r="K1911" s="3"/>
    </row>
    <row r="1912" spans="1:11" ht="43.2" x14ac:dyDescent="0.3">
      <c r="A1912" s="3" t="s">
        <v>3973</v>
      </c>
      <c r="B1912" s="3" t="str">
        <f>"041503246"</f>
        <v>041503246</v>
      </c>
      <c r="C1912" s="3" t="s">
        <v>3974</v>
      </c>
      <c r="D1912" s="3" t="s">
        <v>3976</v>
      </c>
      <c r="E1912" s="3" t="s">
        <v>16</v>
      </c>
      <c r="F1912" s="2">
        <v>44034</v>
      </c>
      <c r="G1912" s="2">
        <v>44226</v>
      </c>
      <c r="H1912" s="3017" t="s">
        <v>17</v>
      </c>
      <c r="I1912" s="3" t="s">
        <v>41</v>
      </c>
      <c r="J1912" s="3" t="s">
        <v>19</v>
      </c>
      <c r="K1912" s="3"/>
    </row>
    <row r="1913" spans="1:11" ht="43.2" x14ac:dyDescent="0.3">
      <c r="A1913" s="3" t="s">
        <v>3973</v>
      </c>
      <c r="B1913" s="3" t="str">
        <f>"041503386"</f>
        <v>041503386</v>
      </c>
      <c r="C1913" s="3" t="s">
        <v>3974</v>
      </c>
      <c r="D1913" s="3" t="s">
        <v>3977</v>
      </c>
      <c r="E1913" s="3" t="s">
        <v>16</v>
      </c>
      <c r="F1913" s="2">
        <v>44153</v>
      </c>
      <c r="G1913" s="2">
        <v>44286</v>
      </c>
      <c r="H1913" s="3018" t="s">
        <v>17</v>
      </c>
      <c r="I1913" s="3" t="s">
        <v>41</v>
      </c>
      <c r="J1913" s="3" t="s">
        <v>19</v>
      </c>
      <c r="K1913" s="3"/>
    </row>
    <row r="1914" spans="1:11" ht="43.2" x14ac:dyDescent="0.3">
      <c r="A1914" s="3" t="s">
        <v>3973</v>
      </c>
      <c r="B1914" s="3" t="str">
        <f>"041503525"</f>
        <v>041503525</v>
      </c>
      <c r="C1914" s="3" t="s">
        <v>3974</v>
      </c>
      <c r="D1914" s="3" t="s">
        <v>3978</v>
      </c>
      <c r="E1914" s="3" t="s">
        <v>16</v>
      </c>
      <c r="F1914" s="2">
        <v>44065</v>
      </c>
      <c r="G1914" s="2">
        <v>44255</v>
      </c>
      <c r="H1914" s="3019" t="s">
        <v>17</v>
      </c>
      <c r="I1914" s="3" t="s">
        <v>41</v>
      </c>
      <c r="J1914" s="3" t="s">
        <v>19</v>
      </c>
      <c r="K1914" s="3"/>
    </row>
    <row r="1915" spans="1:11" ht="43.2" x14ac:dyDescent="0.3">
      <c r="A1915" s="3" t="s">
        <v>3979</v>
      </c>
      <c r="B1915" s="3" t="str">
        <f>"043057037"</f>
        <v>043057037</v>
      </c>
      <c r="C1915" s="3" t="s">
        <v>3968</v>
      </c>
      <c r="D1915" s="3" t="s">
        <v>3980</v>
      </c>
      <c r="E1915" s="3" t="s">
        <v>56</v>
      </c>
      <c r="F1915" s="2">
        <v>44049</v>
      </c>
      <c r="G1915" s="2">
        <v>44127</v>
      </c>
      <c r="H1915" s="3020" t="s">
        <v>17</v>
      </c>
      <c r="I1915" s="3" t="s">
        <v>41</v>
      </c>
      <c r="J1915" s="3" t="s">
        <v>19</v>
      </c>
      <c r="K1915" s="3"/>
    </row>
    <row r="1916" spans="1:11" ht="43.2" x14ac:dyDescent="0.3">
      <c r="A1916" s="3" t="s">
        <v>3979</v>
      </c>
      <c r="B1916" s="3" t="str">
        <f>"043057052"</f>
        <v>043057052</v>
      </c>
      <c r="C1916" s="3" t="s">
        <v>3968</v>
      </c>
      <c r="D1916" s="3" t="s">
        <v>3981</v>
      </c>
      <c r="E1916" s="3" t="s">
        <v>56</v>
      </c>
      <c r="F1916" s="2">
        <v>44226</v>
      </c>
      <c r="G1916" s="2">
        <v>44377</v>
      </c>
      <c r="H1916" s="3021" t="s">
        <v>17</v>
      </c>
      <c r="I1916" s="3" t="s">
        <v>41</v>
      </c>
      <c r="J1916" s="3" t="s">
        <v>19</v>
      </c>
      <c r="K1916" s="3"/>
    </row>
    <row r="1917" spans="1:11" ht="43.2" x14ac:dyDescent="0.3">
      <c r="A1917" s="3" t="s">
        <v>3979</v>
      </c>
      <c r="B1917" s="3" t="str">
        <f>"043057088"</f>
        <v>043057088</v>
      </c>
      <c r="C1917" s="3" t="s">
        <v>3968</v>
      </c>
      <c r="D1917" s="3" t="s">
        <v>3982</v>
      </c>
      <c r="E1917" s="3" t="s">
        <v>56</v>
      </c>
      <c r="F1917" s="2">
        <v>44226</v>
      </c>
      <c r="G1917" s="2">
        <v>44377</v>
      </c>
      <c r="H1917" s="3022" t="s">
        <v>17</v>
      </c>
      <c r="I1917" s="3" t="s">
        <v>41</v>
      </c>
      <c r="J1917" s="3" t="s">
        <v>19</v>
      </c>
      <c r="K1917" s="3"/>
    </row>
    <row r="1918" spans="1:11" ht="43.2" x14ac:dyDescent="0.3">
      <c r="A1918" s="3" t="s">
        <v>3983</v>
      </c>
      <c r="B1918" s="3" t="str">
        <f>"043697299"</f>
        <v>043697299</v>
      </c>
      <c r="C1918" s="3" t="s">
        <v>3984</v>
      </c>
      <c r="D1918" s="3" t="s">
        <v>3985</v>
      </c>
      <c r="E1918" s="3" t="s">
        <v>895</v>
      </c>
      <c r="F1918" s="2">
        <v>43952</v>
      </c>
      <c r="G1918" s="2"/>
      <c r="H1918" s="3023" t="s">
        <v>17</v>
      </c>
      <c r="I1918" s="3" t="s">
        <v>41</v>
      </c>
      <c r="J1918" s="3" t="s">
        <v>19</v>
      </c>
      <c r="K1918" s="3"/>
    </row>
    <row r="1919" spans="1:11" ht="43.2" x14ac:dyDescent="0.3">
      <c r="A1919" s="3" t="s">
        <v>3986</v>
      </c>
      <c r="B1919" s="3" t="str">
        <f>"040968327"</f>
        <v>040968327</v>
      </c>
      <c r="C1919" s="3" t="s">
        <v>3984</v>
      </c>
      <c r="D1919" s="3" t="s">
        <v>3987</v>
      </c>
      <c r="E1919" s="3" t="s">
        <v>518</v>
      </c>
      <c r="F1919" s="2">
        <v>44103</v>
      </c>
      <c r="G1919" s="2"/>
      <c r="H1919" s="3024" t="s">
        <v>17</v>
      </c>
      <c r="I1919" s="3" t="s">
        <v>41</v>
      </c>
      <c r="J1919" s="3" t="s">
        <v>19</v>
      </c>
      <c r="K1919" s="3"/>
    </row>
    <row r="1920" spans="1:11" ht="43.2" x14ac:dyDescent="0.3">
      <c r="A1920" s="3" t="s">
        <v>3988</v>
      </c>
      <c r="B1920" s="3" t="str">
        <f>"027763010"</f>
        <v>027763010</v>
      </c>
      <c r="C1920" s="3" t="s">
        <v>2075</v>
      </c>
      <c r="D1920" s="3" t="s">
        <v>3989</v>
      </c>
      <c r="E1920" s="3" t="s">
        <v>803</v>
      </c>
      <c r="F1920" s="2">
        <v>44227</v>
      </c>
      <c r="G1920" s="2"/>
      <c r="H1920" s="3025" t="s">
        <v>17</v>
      </c>
      <c r="I1920" s="3026" t="s">
        <v>32</v>
      </c>
      <c r="J1920" s="3" t="s">
        <v>19</v>
      </c>
      <c r="K1920" s="3"/>
    </row>
    <row r="1921" spans="1:11" ht="57.6" x14ac:dyDescent="0.3">
      <c r="A1921" s="3" t="s">
        <v>3990</v>
      </c>
      <c r="B1921" s="3" t="str">
        <f>"040177204"</f>
        <v>040177204</v>
      </c>
      <c r="C1921" s="3" t="s">
        <v>3991</v>
      </c>
      <c r="D1921" s="3" t="s">
        <v>3992</v>
      </c>
      <c r="E1921" s="3" t="s">
        <v>83</v>
      </c>
      <c r="F1921" s="2">
        <v>43563</v>
      </c>
      <c r="G1921" s="2"/>
      <c r="H1921" s="3027" t="s">
        <v>17</v>
      </c>
      <c r="I1921" s="3" t="s">
        <v>41</v>
      </c>
      <c r="J1921" s="3" t="s">
        <v>19</v>
      </c>
      <c r="K1921" s="3"/>
    </row>
    <row r="1922" spans="1:11" ht="57.6" x14ac:dyDescent="0.3">
      <c r="A1922" s="3" t="s">
        <v>3993</v>
      </c>
      <c r="B1922" s="3" t="str">
        <f>"037403021"</f>
        <v>037403021</v>
      </c>
      <c r="C1922" s="3" t="s">
        <v>1674</v>
      </c>
      <c r="D1922" s="3" t="s">
        <v>3994</v>
      </c>
      <c r="E1922" s="3" t="s">
        <v>107</v>
      </c>
      <c r="F1922" s="2">
        <v>43052</v>
      </c>
      <c r="G1922" s="2"/>
      <c r="H1922" s="3028" t="s">
        <v>17</v>
      </c>
      <c r="I1922" s="3029" t="s">
        <v>18</v>
      </c>
      <c r="J1922" s="3" t="s">
        <v>19</v>
      </c>
      <c r="K1922" s="3"/>
    </row>
    <row r="1923" spans="1:11" ht="57.6" x14ac:dyDescent="0.3">
      <c r="A1923" s="3" t="s">
        <v>3995</v>
      </c>
      <c r="B1923" s="3" t="str">
        <f>"037369143"</f>
        <v>037369143</v>
      </c>
      <c r="C1923" s="3" t="s">
        <v>3991</v>
      </c>
      <c r="D1923" s="3" t="s">
        <v>3994</v>
      </c>
      <c r="E1923" s="3" t="s">
        <v>99</v>
      </c>
      <c r="F1923" s="2">
        <v>43222</v>
      </c>
      <c r="G1923" s="2">
        <v>44286</v>
      </c>
      <c r="H1923" s="3030" t="s">
        <v>17</v>
      </c>
      <c r="I1923" s="3" t="s">
        <v>41</v>
      </c>
      <c r="J1923" s="3" t="s">
        <v>19</v>
      </c>
      <c r="K1923" s="3"/>
    </row>
    <row r="1924" spans="1:11" ht="43.2" x14ac:dyDescent="0.3">
      <c r="A1924" s="3" t="s">
        <v>3996</v>
      </c>
      <c r="B1924" s="3" t="str">
        <f>"037301037"</f>
        <v>037301037</v>
      </c>
      <c r="C1924" s="3" t="s">
        <v>3997</v>
      </c>
      <c r="D1924" s="3" t="s">
        <v>3998</v>
      </c>
      <c r="E1924" s="3" t="s">
        <v>99</v>
      </c>
      <c r="F1924" s="2">
        <v>44104</v>
      </c>
      <c r="G1924" s="2"/>
      <c r="H1924" s="3031" t="s">
        <v>17</v>
      </c>
      <c r="I1924" s="3032" t="s">
        <v>18</v>
      </c>
      <c r="J1924" s="3" t="s">
        <v>19</v>
      </c>
      <c r="K1924" s="3"/>
    </row>
    <row r="1925" spans="1:11" ht="57.6" x14ac:dyDescent="0.3">
      <c r="A1925" s="3" t="s">
        <v>3999</v>
      </c>
      <c r="B1925" s="3" t="str">
        <f>"041223037"</f>
        <v>041223037</v>
      </c>
      <c r="C1925" s="3" t="s">
        <v>4000</v>
      </c>
      <c r="D1925" s="3" t="s">
        <v>4001</v>
      </c>
      <c r="E1925" s="3" t="s">
        <v>83</v>
      </c>
      <c r="F1925" s="2">
        <v>43535</v>
      </c>
      <c r="G1925" s="2"/>
      <c r="H1925" s="3033" t="s">
        <v>17</v>
      </c>
      <c r="I1925" s="3034" t="s">
        <v>32</v>
      </c>
      <c r="J1925" s="3" t="s">
        <v>19</v>
      </c>
      <c r="K1925" s="3"/>
    </row>
    <row r="1926" spans="1:11" ht="57.6" x14ac:dyDescent="0.3">
      <c r="A1926" s="3" t="s">
        <v>3999</v>
      </c>
      <c r="B1926" s="3" t="str">
        <f>"041223177"</f>
        <v>041223177</v>
      </c>
      <c r="C1926" s="3" t="s">
        <v>4000</v>
      </c>
      <c r="D1926" s="3" t="s">
        <v>4002</v>
      </c>
      <c r="E1926" s="3" t="s">
        <v>83</v>
      </c>
      <c r="F1926" s="2">
        <v>43535</v>
      </c>
      <c r="G1926" s="2"/>
      <c r="H1926" s="3035" t="s">
        <v>17</v>
      </c>
      <c r="I1926" s="3036" t="s">
        <v>32</v>
      </c>
      <c r="J1926" s="3" t="s">
        <v>19</v>
      </c>
      <c r="K1926" s="3"/>
    </row>
    <row r="1927" spans="1:11" ht="57.6" x14ac:dyDescent="0.3">
      <c r="A1927" s="3" t="s">
        <v>4003</v>
      </c>
      <c r="B1927" s="3" t="str">
        <f>"041161011"</f>
        <v>041161011</v>
      </c>
      <c r="C1927" s="3" t="s">
        <v>4000</v>
      </c>
      <c r="D1927" s="3" t="s">
        <v>4004</v>
      </c>
      <c r="E1927" s="3" t="s">
        <v>83</v>
      </c>
      <c r="F1927" s="2">
        <v>43265</v>
      </c>
      <c r="G1927" s="2"/>
      <c r="H1927" s="3037" t="s">
        <v>17</v>
      </c>
      <c r="I1927" s="3" t="s">
        <v>41</v>
      </c>
      <c r="J1927" s="3" t="s">
        <v>19</v>
      </c>
      <c r="K1927" s="3"/>
    </row>
    <row r="1928" spans="1:11" ht="57.6" x14ac:dyDescent="0.3">
      <c r="A1928" s="3" t="s">
        <v>4005</v>
      </c>
      <c r="B1928" s="3" t="str">
        <f>"041541018"</f>
        <v>041541018</v>
      </c>
      <c r="C1928" s="3" t="s">
        <v>4000</v>
      </c>
      <c r="D1928" s="3" t="s">
        <v>4006</v>
      </c>
      <c r="E1928" s="3" t="s">
        <v>263</v>
      </c>
      <c r="F1928" s="2">
        <v>44242</v>
      </c>
      <c r="G1928" s="2">
        <v>44319</v>
      </c>
      <c r="H1928" s="3038" t="s">
        <v>17</v>
      </c>
      <c r="I1928" s="3" t="s">
        <v>41</v>
      </c>
      <c r="J1928" s="3" t="s">
        <v>19</v>
      </c>
      <c r="K1928" s="3"/>
    </row>
    <row r="1929" spans="1:11" ht="43.2" x14ac:dyDescent="0.3">
      <c r="A1929" s="3" t="s">
        <v>4007</v>
      </c>
      <c r="B1929" s="3" t="str">
        <f>"040938058"</f>
        <v>040938058</v>
      </c>
      <c r="C1929" s="3" t="s">
        <v>4000</v>
      </c>
      <c r="D1929" s="3" t="s">
        <v>4008</v>
      </c>
      <c r="E1929" s="3" t="s">
        <v>64</v>
      </c>
      <c r="F1929" s="2">
        <v>43739</v>
      </c>
      <c r="G1929" s="2">
        <v>43952</v>
      </c>
      <c r="H1929" s="3039" t="s">
        <v>17</v>
      </c>
      <c r="I1929" s="3" t="s">
        <v>41</v>
      </c>
      <c r="J1929" s="3" t="s">
        <v>19</v>
      </c>
      <c r="K1929" s="3"/>
    </row>
    <row r="1930" spans="1:11" ht="43.2" x14ac:dyDescent="0.3">
      <c r="A1930" s="3" t="s">
        <v>4009</v>
      </c>
      <c r="B1930" s="3" t="str">
        <f>"040828030"</f>
        <v>040828030</v>
      </c>
      <c r="C1930" s="3" t="s">
        <v>4000</v>
      </c>
      <c r="D1930" s="3" t="s">
        <v>4010</v>
      </c>
      <c r="E1930" s="3" t="s">
        <v>27</v>
      </c>
      <c r="F1930" s="2">
        <v>43996</v>
      </c>
      <c r="G1930" s="2">
        <v>44286</v>
      </c>
      <c r="H1930" s="3040" t="s">
        <v>17</v>
      </c>
      <c r="I1930" s="3" t="s">
        <v>41</v>
      </c>
      <c r="J1930" s="3" t="s">
        <v>19</v>
      </c>
      <c r="K1930" s="3"/>
    </row>
    <row r="1931" spans="1:11" ht="43.2" x14ac:dyDescent="0.3">
      <c r="A1931" s="3" t="s">
        <v>4009</v>
      </c>
      <c r="B1931" s="3" t="str">
        <f>"040828307"</f>
        <v>040828307</v>
      </c>
      <c r="C1931" s="3" t="s">
        <v>4000</v>
      </c>
      <c r="D1931" s="3" t="s">
        <v>857</v>
      </c>
      <c r="E1931" s="3" t="s">
        <v>27</v>
      </c>
      <c r="F1931" s="2">
        <v>44046</v>
      </c>
      <c r="G1931" s="2">
        <v>44377</v>
      </c>
      <c r="H1931" s="3041" t="s">
        <v>17</v>
      </c>
      <c r="I1931" s="3" t="s">
        <v>41</v>
      </c>
      <c r="J1931" s="3" t="s">
        <v>19</v>
      </c>
      <c r="K1931" s="3"/>
    </row>
    <row r="1932" spans="1:11" ht="57.6" x14ac:dyDescent="0.3">
      <c r="A1932" s="3" t="s">
        <v>4011</v>
      </c>
      <c r="B1932" s="3" t="str">
        <f>"035947011"</f>
        <v>035947011</v>
      </c>
      <c r="C1932" s="3" t="s">
        <v>4012</v>
      </c>
      <c r="D1932" s="3" t="s">
        <v>4013</v>
      </c>
      <c r="E1932" s="3" t="s">
        <v>4014</v>
      </c>
      <c r="F1932" s="2">
        <v>42976</v>
      </c>
      <c r="G1932" s="2"/>
      <c r="H1932" s="3042" t="s">
        <v>17</v>
      </c>
      <c r="I1932" s="3043" t="s">
        <v>18</v>
      </c>
      <c r="J1932" s="3" t="s">
        <v>156</v>
      </c>
      <c r="K1932" s="3"/>
    </row>
    <row r="1933" spans="1:11" ht="43.2" x14ac:dyDescent="0.3">
      <c r="A1933" s="3" t="s">
        <v>4015</v>
      </c>
      <c r="B1933" s="3" t="str">
        <f>"040742013"</f>
        <v>040742013</v>
      </c>
      <c r="C1933" s="3" t="s">
        <v>4016</v>
      </c>
      <c r="D1933" s="3" t="s">
        <v>4017</v>
      </c>
      <c r="E1933" s="3" t="s">
        <v>107</v>
      </c>
      <c r="F1933" s="2">
        <v>43922</v>
      </c>
      <c r="G1933" s="2"/>
      <c r="H1933" s="3044" t="s">
        <v>17</v>
      </c>
      <c r="I1933" s="3045" t="s">
        <v>18</v>
      </c>
      <c r="J1933" s="3" t="s">
        <v>19</v>
      </c>
      <c r="K1933" s="3"/>
    </row>
    <row r="1934" spans="1:11" ht="43.2" x14ac:dyDescent="0.3">
      <c r="A1934" s="3" t="s">
        <v>4018</v>
      </c>
      <c r="B1934" s="3" t="str">
        <f>"040794048"</f>
        <v>040794048</v>
      </c>
      <c r="C1934" s="3" t="s">
        <v>2758</v>
      </c>
      <c r="D1934" s="3" t="s">
        <v>4019</v>
      </c>
      <c r="E1934" s="3" t="s">
        <v>4020</v>
      </c>
      <c r="F1934" s="2">
        <v>42303</v>
      </c>
      <c r="G1934" s="2"/>
      <c r="H1934" s="3046" t="s">
        <v>17</v>
      </c>
      <c r="I1934" s="3" t="s">
        <v>41</v>
      </c>
      <c r="J1934" s="3" t="s">
        <v>19</v>
      </c>
      <c r="K1934" s="3"/>
    </row>
    <row r="1935" spans="1:11" ht="43.2" x14ac:dyDescent="0.3">
      <c r="A1935" s="3" t="s">
        <v>4021</v>
      </c>
      <c r="B1935" s="3" t="str">
        <f>"039728288"</f>
        <v>039728288</v>
      </c>
      <c r="C1935" s="3" t="s">
        <v>4022</v>
      </c>
      <c r="D1935" s="3" t="s">
        <v>4023</v>
      </c>
      <c r="E1935" s="3" t="s">
        <v>83</v>
      </c>
      <c r="F1935" s="2">
        <v>44013</v>
      </c>
      <c r="G1935" s="2"/>
      <c r="H1935" s="3047" t="s">
        <v>17</v>
      </c>
      <c r="I1935" s="3" t="s">
        <v>41</v>
      </c>
      <c r="J1935" s="3" t="s">
        <v>19</v>
      </c>
      <c r="K1935" s="3"/>
    </row>
    <row r="1936" spans="1:11" ht="43.2" x14ac:dyDescent="0.3">
      <c r="A1936" s="3" t="s">
        <v>4024</v>
      </c>
      <c r="B1936" s="3" t="str">
        <f>"042745164"</f>
        <v>042745164</v>
      </c>
      <c r="C1936" s="3" t="s">
        <v>4025</v>
      </c>
      <c r="D1936" s="3" t="s">
        <v>4026</v>
      </c>
      <c r="E1936" s="3" t="s">
        <v>64</v>
      </c>
      <c r="F1936" s="2">
        <v>44156</v>
      </c>
      <c r="G1936" s="2"/>
      <c r="H1936" s="3048" t="s">
        <v>17</v>
      </c>
      <c r="I1936" s="3" t="s">
        <v>41</v>
      </c>
      <c r="J1936" s="3" t="s">
        <v>19</v>
      </c>
      <c r="K1936" s="3"/>
    </row>
    <row r="1937" spans="1:11" ht="43.2" x14ac:dyDescent="0.3">
      <c r="A1937" s="3" t="s">
        <v>4027</v>
      </c>
      <c r="B1937" s="3" t="str">
        <f>"037390224"</f>
        <v>037390224</v>
      </c>
      <c r="C1937" s="3" t="s">
        <v>4025</v>
      </c>
      <c r="D1937" s="3" t="s">
        <v>4028</v>
      </c>
      <c r="E1937" s="3" t="s">
        <v>103</v>
      </c>
      <c r="F1937" s="2">
        <v>44008</v>
      </c>
      <c r="G1937" s="2">
        <v>44074</v>
      </c>
      <c r="H1937" s="3049" t="s">
        <v>17</v>
      </c>
      <c r="I1937" s="3" t="s">
        <v>178</v>
      </c>
      <c r="J1937" s="3" t="s">
        <v>19</v>
      </c>
      <c r="K1937" s="3"/>
    </row>
    <row r="1938" spans="1:11" ht="43.2" x14ac:dyDescent="0.3">
      <c r="A1938" s="3" t="s">
        <v>4029</v>
      </c>
      <c r="B1938" s="3" t="str">
        <f>"041792209"</f>
        <v>041792209</v>
      </c>
      <c r="C1938" s="3" t="s">
        <v>4022</v>
      </c>
      <c r="D1938" s="3" t="s">
        <v>4030</v>
      </c>
      <c r="E1938" s="3" t="s">
        <v>481</v>
      </c>
      <c r="F1938" s="2">
        <v>43703</v>
      </c>
      <c r="G1938" s="2">
        <v>44012</v>
      </c>
      <c r="H1938" s="3050" t="s">
        <v>17</v>
      </c>
      <c r="I1938" s="3" t="s">
        <v>41</v>
      </c>
      <c r="J1938" s="3" t="s">
        <v>19</v>
      </c>
      <c r="K1938" s="3"/>
    </row>
    <row r="1939" spans="1:11" ht="43.2" x14ac:dyDescent="0.3">
      <c r="A1939" s="3" t="s">
        <v>4029</v>
      </c>
      <c r="B1939" s="3" t="str">
        <f>"041792312"</f>
        <v>041792312</v>
      </c>
      <c r="C1939" s="3" t="s">
        <v>4022</v>
      </c>
      <c r="D1939" s="3" t="s">
        <v>523</v>
      </c>
      <c r="E1939" s="3" t="s">
        <v>481</v>
      </c>
      <c r="F1939" s="2">
        <v>43712</v>
      </c>
      <c r="G1939" s="2">
        <v>43923</v>
      </c>
      <c r="H1939" s="3051" t="s">
        <v>17</v>
      </c>
      <c r="I1939" s="3" t="s">
        <v>41</v>
      </c>
      <c r="J1939" s="3" t="s">
        <v>19</v>
      </c>
      <c r="K1939" s="3"/>
    </row>
    <row r="1940" spans="1:11" ht="43.2" x14ac:dyDescent="0.3">
      <c r="A1940" s="3" t="s">
        <v>4031</v>
      </c>
      <c r="B1940" s="3" t="str">
        <f>"036905040"</f>
        <v>036905040</v>
      </c>
      <c r="C1940" s="3" t="s">
        <v>4022</v>
      </c>
      <c r="D1940" s="3" t="s">
        <v>3464</v>
      </c>
      <c r="E1940" s="3" t="s">
        <v>103</v>
      </c>
      <c r="F1940" s="2">
        <v>44050</v>
      </c>
      <c r="G1940" s="2">
        <v>44104</v>
      </c>
      <c r="H1940" s="3052" t="s">
        <v>17</v>
      </c>
      <c r="I1940" s="3" t="s">
        <v>104</v>
      </c>
      <c r="J1940" s="3" t="s">
        <v>19</v>
      </c>
      <c r="K1940" s="3"/>
    </row>
    <row r="1941" spans="1:11" ht="43.2" x14ac:dyDescent="0.3">
      <c r="A1941" s="3" t="s">
        <v>4032</v>
      </c>
      <c r="B1941" s="3" t="str">
        <f>"042262016"</f>
        <v>042262016</v>
      </c>
      <c r="C1941" s="3" t="s">
        <v>4022</v>
      </c>
      <c r="D1941" s="3" t="s">
        <v>4033</v>
      </c>
      <c r="E1941" s="3" t="s">
        <v>64</v>
      </c>
      <c r="F1941" s="2">
        <v>43922</v>
      </c>
      <c r="G1941" s="2"/>
      <c r="H1941" s="3053" t="s">
        <v>17</v>
      </c>
      <c r="I1941" s="3" t="s">
        <v>41</v>
      </c>
      <c r="J1941" s="3" t="s">
        <v>19</v>
      </c>
      <c r="K1941" s="3"/>
    </row>
    <row r="1942" spans="1:11" ht="43.2" x14ac:dyDescent="0.3">
      <c r="A1942" s="3" t="s">
        <v>4032</v>
      </c>
      <c r="B1942" s="3" t="str">
        <f>"042262093"</f>
        <v>042262093</v>
      </c>
      <c r="C1942" s="3" t="s">
        <v>4022</v>
      </c>
      <c r="D1942" s="3" t="s">
        <v>4030</v>
      </c>
      <c r="E1942" s="3" t="s">
        <v>64</v>
      </c>
      <c r="F1942" s="2">
        <v>44075</v>
      </c>
      <c r="G1942" s="2"/>
      <c r="H1942" s="3054" t="s">
        <v>17</v>
      </c>
      <c r="I1942" s="3" t="s">
        <v>41</v>
      </c>
      <c r="J1942" s="3" t="s">
        <v>19</v>
      </c>
      <c r="K1942" s="3"/>
    </row>
    <row r="1943" spans="1:11" ht="43.2" x14ac:dyDescent="0.3">
      <c r="A1943" s="3" t="s">
        <v>4032</v>
      </c>
      <c r="B1943" s="3" t="str">
        <f>"042262194"</f>
        <v>042262194</v>
      </c>
      <c r="C1943" s="3" t="s">
        <v>4022</v>
      </c>
      <c r="D1943" s="3" t="s">
        <v>523</v>
      </c>
      <c r="E1943" s="3" t="s">
        <v>64</v>
      </c>
      <c r="F1943" s="2">
        <v>43983</v>
      </c>
      <c r="G1943" s="2"/>
      <c r="H1943" s="3055" t="s">
        <v>17</v>
      </c>
      <c r="I1943" s="3" t="s">
        <v>41</v>
      </c>
      <c r="J1943" s="3" t="s">
        <v>19</v>
      </c>
      <c r="K1943" s="3"/>
    </row>
    <row r="1944" spans="1:11" ht="43.2" x14ac:dyDescent="0.3">
      <c r="A1944" s="3" t="s">
        <v>4034</v>
      </c>
      <c r="B1944" s="3" t="str">
        <f>"038323010"</f>
        <v>038323010</v>
      </c>
      <c r="C1944" s="3" t="s">
        <v>4035</v>
      </c>
      <c r="D1944" s="3" t="s">
        <v>4036</v>
      </c>
      <c r="E1944" s="3" t="s">
        <v>70</v>
      </c>
      <c r="F1944" s="2">
        <v>43709</v>
      </c>
      <c r="G1944" s="2">
        <v>43992</v>
      </c>
      <c r="H1944" s="3056" t="s">
        <v>17</v>
      </c>
      <c r="I1944" s="3" t="s">
        <v>41</v>
      </c>
      <c r="J1944" s="3" t="s">
        <v>19</v>
      </c>
      <c r="K1944" s="3"/>
    </row>
    <row r="1945" spans="1:11" ht="43.2" x14ac:dyDescent="0.3">
      <c r="A1945" s="3" t="s">
        <v>4034</v>
      </c>
      <c r="B1945" s="3" t="str">
        <f>"038323022"</f>
        <v>038323022</v>
      </c>
      <c r="C1945" s="3" t="s">
        <v>4035</v>
      </c>
      <c r="D1945" s="3" t="s">
        <v>4037</v>
      </c>
      <c r="E1945" s="3" t="s">
        <v>70</v>
      </c>
      <c r="F1945" s="2">
        <v>43709</v>
      </c>
      <c r="G1945" s="2">
        <v>43992</v>
      </c>
      <c r="H1945" s="3057" t="s">
        <v>17</v>
      </c>
      <c r="I1945" s="3" t="s">
        <v>41</v>
      </c>
      <c r="J1945" s="3" t="s">
        <v>19</v>
      </c>
      <c r="K1945" s="3"/>
    </row>
    <row r="1946" spans="1:11" ht="43.2" x14ac:dyDescent="0.3">
      <c r="A1946" s="3" t="s">
        <v>4034</v>
      </c>
      <c r="B1946" s="3" t="str">
        <f>"038323034"</f>
        <v>038323034</v>
      </c>
      <c r="C1946" s="3" t="s">
        <v>4035</v>
      </c>
      <c r="D1946" s="3" t="s">
        <v>4038</v>
      </c>
      <c r="E1946" s="3" t="s">
        <v>70</v>
      </c>
      <c r="F1946" s="2">
        <v>43709</v>
      </c>
      <c r="G1946" s="2">
        <v>43992</v>
      </c>
      <c r="H1946" s="3058" t="s">
        <v>17</v>
      </c>
      <c r="I1946" s="3" t="s">
        <v>41</v>
      </c>
      <c r="J1946" s="3" t="s">
        <v>19</v>
      </c>
      <c r="K1946" s="3"/>
    </row>
    <row r="1947" spans="1:11" ht="72" x14ac:dyDescent="0.3">
      <c r="A1947" s="3" t="s">
        <v>4039</v>
      </c>
      <c r="B1947" s="3" t="str">
        <f>"038917035"</f>
        <v>038917035</v>
      </c>
      <c r="C1947" s="3" t="s">
        <v>4040</v>
      </c>
      <c r="D1947" s="3" t="s">
        <v>4041</v>
      </c>
      <c r="E1947" s="3" t="s">
        <v>1508</v>
      </c>
      <c r="F1947" s="2">
        <v>43864</v>
      </c>
      <c r="G1947" s="2">
        <v>43905</v>
      </c>
      <c r="H1947" s="3059" t="s">
        <v>37</v>
      </c>
      <c r="I1947" s="3" t="s">
        <v>104</v>
      </c>
      <c r="J1947" s="3" t="s">
        <v>156</v>
      </c>
      <c r="K1947" s="3"/>
    </row>
    <row r="1948" spans="1:11" ht="43.2" x14ac:dyDescent="0.3">
      <c r="A1948" s="3" t="s">
        <v>4042</v>
      </c>
      <c r="B1948" s="3" t="str">
        <f>"024447070"</f>
        <v>024447070</v>
      </c>
      <c r="C1948" s="3" t="s">
        <v>854</v>
      </c>
      <c r="D1948" s="3" t="s">
        <v>4043</v>
      </c>
      <c r="E1948" s="3" t="s">
        <v>1287</v>
      </c>
      <c r="F1948" s="2">
        <v>43482</v>
      </c>
      <c r="G1948" s="2"/>
      <c r="H1948" s="3060" t="s">
        <v>17</v>
      </c>
      <c r="I1948" s="3061" t="s">
        <v>18</v>
      </c>
      <c r="J1948" s="3" t="s">
        <v>19</v>
      </c>
      <c r="K1948" s="3"/>
    </row>
    <row r="1949" spans="1:11" ht="43.2" x14ac:dyDescent="0.3">
      <c r="A1949" s="3" t="s">
        <v>4042</v>
      </c>
      <c r="B1949" s="3" t="str">
        <f>"024447094"</f>
        <v>024447094</v>
      </c>
      <c r="C1949" s="3" t="s">
        <v>854</v>
      </c>
      <c r="D1949" s="3" t="s">
        <v>4044</v>
      </c>
      <c r="E1949" s="3" t="s">
        <v>1287</v>
      </c>
      <c r="F1949" s="2">
        <v>43482</v>
      </c>
      <c r="G1949" s="2"/>
      <c r="H1949" s="3062" t="s">
        <v>37</v>
      </c>
      <c r="I1949" s="3063" t="s">
        <v>18</v>
      </c>
      <c r="J1949" s="3" t="s">
        <v>19</v>
      </c>
      <c r="K1949" s="3"/>
    </row>
    <row r="1950" spans="1:11" ht="43.2" x14ac:dyDescent="0.3">
      <c r="A1950" s="3" t="s">
        <v>4045</v>
      </c>
      <c r="B1950" s="3" t="str">
        <f>"036605020"</f>
        <v>036605020</v>
      </c>
      <c r="C1950" s="3" t="s">
        <v>854</v>
      </c>
      <c r="D1950" s="3" t="s">
        <v>4046</v>
      </c>
      <c r="E1950" s="3" t="s">
        <v>83</v>
      </c>
      <c r="F1950" s="2">
        <v>43741</v>
      </c>
      <c r="G1950" s="2"/>
      <c r="H1950" s="3064" t="s">
        <v>17</v>
      </c>
      <c r="I1950" s="3" t="s">
        <v>41</v>
      </c>
      <c r="J1950" s="3" t="s">
        <v>19</v>
      </c>
      <c r="K1950" s="3"/>
    </row>
    <row r="1951" spans="1:11" ht="43.2" x14ac:dyDescent="0.3">
      <c r="A1951" s="3" t="s">
        <v>4047</v>
      </c>
      <c r="B1951" s="3" t="str">
        <f>"045309022"</f>
        <v>045309022</v>
      </c>
      <c r="C1951" s="3" t="s">
        <v>854</v>
      </c>
      <c r="D1951" s="3" t="s">
        <v>4048</v>
      </c>
      <c r="E1951" s="3" t="s">
        <v>83</v>
      </c>
      <c r="F1951" s="2">
        <v>43741</v>
      </c>
      <c r="G1951" s="2"/>
      <c r="H1951" s="3065" t="s">
        <v>17</v>
      </c>
      <c r="I1951" s="3" t="s">
        <v>41</v>
      </c>
      <c r="J1951" s="3" t="s">
        <v>19</v>
      </c>
      <c r="K1951" s="3"/>
    </row>
    <row r="1952" spans="1:11" ht="43.2" x14ac:dyDescent="0.3">
      <c r="A1952" s="3" t="s">
        <v>4047</v>
      </c>
      <c r="B1952" s="3" t="str">
        <f>"045309073"</f>
        <v>045309073</v>
      </c>
      <c r="C1952" s="3" t="s">
        <v>854</v>
      </c>
      <c r="D1952" s="3" t="s">
        <v>4049</v>
      </c>
      <c r="E1952" s="3" t="s">
        <v>83</v>
      </c>
      <c r="F1952" s="2">
        <v>43741</v>
      </c>
      <c r="G1952" s="2"/>
      <c r="H1952" s="3066" t="s">
        <v>17</v>
      </c>
      <c r="I1952" s="3" t="s">
        <v>41</v>
      </c>
      <c r="J1952" s="3" t="s">
        <v>19</v>
      </c>
      <c r="K1952" s="3"/>
    </row>
    <row r="1953" spans="1:11" ht="43.2" x14ac:dyDescent="0.3">
      <c r="A1953" s="3" t="s">
        <v>4050</v>
      </c>
      <c r="B1953" s="3" t="str">
        <f>"035332028"</f>
        <v>035332028</v>
      </c>
      <c r="C1953" s="3" t="s">
        <v>854</v>
      </c>
      <c r="D1953" s="3" t="s">
        <v>4051</v>
      </c>
      <c r="E1953" s="3" t="s">
        <v>53</v>
      </c>
      <c r="F1953" s="2">
        <v>43221</v>
      </c>
      <c r="G1953" s="2"/>
      <c r="H1953" s="3067" t="s">
        <v>17</v>
      </c>
      <c r="I1953" s="3" t="s">
        <v>41</v>
      </c>
      <c r="J1953" s="3" t="s">
        <v>19</v>
      </c>
      <c r="K1953" s="3"/>
    </row>
    <row r="1954" spans="1:11" ht="43.2" x14ac:dyDescent="0.3">
      <c r="A1954" s="3" t="s">
        <v>4050</v>
      </c>
      <c r="B1954" s="3" t="str">
        <f>"035332030"</f>
        <v>035332030</v>
      </c>
      <c r="C1954" s="3" t="s">
        <v>854</v>
      </c>
      <c r="D1954" s="3" t="s">
        <v>4052</v>
      </c>
      <c r="E1954" s="3" t="s">
        <v>53</v>
      </c>
      <c r="F1954" s="2">
        <v>43221</v>
      </c>
      <c r="G1954" s="2"/>
      <c r="H1954" s="3068" t="s">
        <v>17</v>
      </c>
      <c r="I1954" s="3" t="s">
        <v>41</v>
      </c>
      <c r="J1954" s="3" t="s">
        <v>19</v>
      </c>
      <c r="K1954" s="3"/>
    </row>
    <row r="1955" spans="1:11" ht="43.2" x14ac:dyDescent="0.3">
      <c r="A1955" s="3" t="s">
        <v>4053</v>
      </c>
      <c r="B1955" s="3" t="str">
        <f>"038186021"</f>
        <v>038186021</v>
      </c>
      <c r="C1955" s="3" t="s">
        <v>4054</v>
      </c>
      <c r="D1955" s="3" t="s">
        <v>4055</v>
      </c>
      <c r="E1955" s="3" t="s">
        <v>103</v>
      </c>
      <c r="F1955" s="2">
        <v>43731</v>
      </c>
      <c r="G1955" s="2">
        <v>43982</v>
      </c>
      <c r="H1955" s="3069" t="s">
        <v>17</v>
      </c>
      <c r="I1955" s="3" t="s">
        <v>41</v>
      </c>
      <c r="J1955" s="3" t="s">
        <v>19</v>
      </c>
      <c r="K1955" s="3"/>
    </row>
    <row r="1956" spans="1:11" ht="43.2" x14ac:dyDescent="0.3">
      <c r="A1956" s="3" t="s">
        <v>4053</v>
      </c>
      <c r="B1956" s="3" t="str">
        <f>"038186045"</f>
        <v>038186045</v>
      </c>
      <c r="C1956" s="3" t="s">
        <v>4054</v>
      </c>
      <c r="D1956" s="3" t="s">
        <v>4056</v>
      </c>
      <c r="E1956" s="3" t="s">
        <v>103</v>
      </c>
      <c r="F1956" s="2">
        <v>43731</v>
      </c>
      <c r="G1956" s="2">
        <v>43982</v>
      </c>
      <c r="H1956" s="3070" t="s">
        <v>17</v>
      </c>
      <c r="I1956" s="3" t="s">
        <v>41</v>
      </c>
      <c r="J1956" s="3" t="s">
        <v>19</v>
      </c>
      <c r="K1956" s="3"/>
    </row>
    <row r="1957" spans="1:11" ht="43.2" x14ac:dyDescent="0.3">
      <c r="A1957" s="3" t="s">
        <v>4053</v>
      </c>
      <c r="B1957" s="3" t="str">
        <f>"038186110"</f>
        <v>038186110</v>
      </c>
      <c r="C1957" s="3" t="s">
        <v>4054</v>
      </c>
      <c r="D1957" s="3" t="s">
        <v>4057</v>
      </c>
      <c r="E1957" s="3" t="s">
        <v>103</v>
      </c>
      <c r="F1957" s="2">
        <v>43731</v>
      </c>
      <c r="G1957" s="2">
        <v>43982</v>
      </c>
      <c r="H1957" s="3071" t="s">
        <v>17</v>
      </c>
      <c r="I1957" s="3" t="s">
        <v>41</v>
      </c>
      <c r="J1957" s="3" t="s">
        <v>19</v>
      </c>
      <c r="K1957" s="3"/>
    </row>
    <row r="1958" spans="1:11" ht="43.2" x14ac:dyDescent="0.3">
      <c r="A1958" s="3" t="s">
        <v>4053</v>
      </c>
      <c r="B1958" s="3" t="str">
        <f>"038186134"</f>
        <v>038186134</v>
      </c>
      <c r="C1958" s="3" t="s">
        <v>4054</v>
      </c>
      <c r="D1958" s="3" t="s">
        <v>4058</v>
      </c>
      <c r="E1958" s="3" t="s">
        <v>103</v>
      </c>
      <c r="F1958" s="2">
        <v>43731</v>
      </c>
      <c r="G1958" s="2">
        <v>43982</v>
      </c>
      <c r="H1958" s="3072" t="s">
        <v>17</v>
      </c>
      <c r="I1958" s="3" t="s">
        <v>41</v>
      </c>
      <c r="J1958" s="3" t="s">
        <v>19</v>
      </c>
      <c r="K1958" s="3"/>
    </row>
    <row r="1959" spans="1:11" ht="43.2" x14ac:dyDescent="0.3">
      <c r="A1959" s="3" t="s">
        <v>4059</v>
      </c>
      <c r="B1959" s="3" t="str">
        <f>"035398229"</f>
        <v>035398229</v>
      </c>
      <c r="C1959" s="3" t="s">
        <v>854</v>
      </c>
      <c r="D1959" s="3" t="s">
        <v>4060</v>
      </c>
      <c r="E1959" s="3" t="s">
        <v>64</v>
      </c>
      <c r="F1959" s="2">
        <v>41585</v>
      </c>
      <c r="G1959" s="2"/>
      <c r="H1959" s="3073" t="s">
        <v>17</v>
      </c>
      <c r="I1959" s="3074" t="s">
        <v>18</v>
      </c>
      <c r="J1959" s="3" t="s">
        <v>19</v>
      </c>
      <c r="K1959" s="3"/>
    </row>
    <row r="1960" spans="1:11" ht="43.2" x14ac:dyDescent="0.3">
      <c r="A1960" s="3" t="s">
        <v>4061</v>
      </c>
      <c r="B1960" s="3" t="str">
        <f>"035335025"</f>
        <v>035335025</v>
      </c>
      <c r="C1960" s="3" t="s">
        <v>854</v>
      </c>
      <c r="D1960" s="3" t="s">
        <v>4062</v>
      </c>
      <c r="E1960" s="3" t="s">
        <v>99</v>
      </c>
      <c r="F1960" s="2">
        <v>43731</v>
      </c>
      <c r="G1960" s="2"/>
      <c r="H1960" s="3075" t="s">
        <v>17</v>
      </c>
      <c r="I1960" s="3" t="s">
        <v>41</v>
      </c>
      <c r="J1960" s="3" t="s">
        <v>19</v>
      </c>
      <c r="K1960" s="3"/>
    </row>
    <row r="1961" spans="1:11" ht="43.2" x14ac:dyDescent="0.3">
      <c r="A1961" s="3" t="s">
        <v>4061</v>
      </c>
      <c r="B1961" s="3" t="str">
        <f>"035335037"</f>
        <v>035335037</v>
      </c>
      <c r="C1961" s="3" t="s">
        <v>854</v>
      </c>
      <c r="D1961" s="3" t="s">
        <v>4063</v>
      </c>
      <c r="E1961" s="3" t="s">
        <v>99</v>
      </c>
      <c r="F1961" s="2">
        <v>43731</v>
      </c>
      <c r="G1961" s="2"/>
      <c r="H1961" s="3076" t="s">
        <v>17</v>
      </c>
      <c r="I1961" s="3" t="s">
        <v>41</v>
      </c>
      <c r="J1961" s="3" t="s">
        <v>19</v>
      </c>
      <c r="K1961" s="3"/>
    </row>
    <row r="1962" spans="1:11" ht="43.2" x14ac:dyDescent="0.3">
      <c r="A1962" s="3" t="s">
        <v>4064</v>
      </c>
      <c r="B1962" s="3" t="str">
        <f>"034186318"</f>
        <v>034186318</v>
      </c>
      <c r="C1962" s="3" t="s">
        <v>4065</v>
      </c>
      <c r="D1962" s="3" t="s">
        <v>4066</v>
      </c>
      <c r="E1962" s="3" t="s">
        <v>467</v>
      </c>
      <c r="F1962" s="2">
        <v>42516</v>
      </c>
      <c r="G1962" s="2"/>
      <c r="H1962" s="3077" t="s">
        <v>17</v>
      </c>
      <c r="I1962" s="3078" t="s">
        <v>18</v>
      </c>
      <c r="J1962" s="3" t="s">
        <v>19</v>
      </c>
      <c r="K1962" s="3"/>
    </row>
    <row r="1963" spans="1:11" ht="43.2" x14ac:dyDescent="0.3">
      <c r="A1963" s="3" t="s">
        <v>4064</v>
      </c>
      <c r="B1963" s="3" t="str">
        <f>"034186460"</f>
        <v>034186460</v>
      </c>
      <c r="C1963" s="3" t="s">
        <v>4065</v>
      </c>
      <c r="D1963" s="3" t="s">
        <v>4067</v>
      </c>
      <c r="E1963" s="3" t="s">
        <v>467</v>
      </c>
      <c r="F1963" s="2">
        <v>42516</v>
      </c>
      <c r="G1963" s="2"/>
      <c r="H1963" s="3079" t="s">
        <v>17</v>
      </c>
      <c r="I1963" s="3080" t="s">
        <v>18</v>
      </c>
      <c r="J1963" s="3" t="s">
        <v>19</v>
      </c>
      <c r="K1963" s="3"/>
    </row>
    <row r="1964" spans="1:11" ht="86.4" x14ac:dyDescent="0.3">
      <c r="A1964" s="3" t="s">
        <v>4068</v>
      </c>
      <c r="B1964" s="3" t="str">
        <f>"038734012"</f>
        <v>038734012</v>
      </c>
      <c r="C1964" s="3" t="s">
        <v>48</v>
      </c>
      <c r="D1964" s="3" t="s">
        <v>4069</v>
      </c>
      <c r="E1964" s="3" t="s">
        <v>103</v>
      </c>
      <c r="F1964" s="2">
        <v>41609</v>
      </c>
      <c r="G1964" s="2"/>
      <c r="H1964" s="3081" t="s">
        <v>17</v>
      </c>
      <c r="I1964" s="3082" t="s">
        <v>18</v>
      </c>
      <c r="J1964" s="3" t="s">
        <v>19</v>
      </c>
      <c r="K1964" s="3"/>
    </row>
    <row r="1965" spans="1:11" ht="43.2" x14ac:dyDescent="0.3">
      <c r="A1965" s="3" t="s">
        <v>4070</v>
      </c>
      <c r="B1965" s="3" t="str">
        <f>"034459014"</f>
        <v>034459014</v>
      </c>
      <c r="C1965" s="3" t="s">
        <v>1312</v>
      </c>
      <c r="D1965" s="3" t="s">
        <v>4071</v>
      </c>
      <c r="E1965" s="3" t="s">
        <v>182</v>
      </c>
      <c r="F1965" s="2">
        <v>43755</v>
      </c>
      <c r="G1965" s="2"/>
      <c r="H1965" s="3083" t="s">
        <v>17</v>
      </c>
      <c r="I1965" s="3084" t="s">
        <v>18</v>
      </c>
      <c r="J1965" s="3" t="s">
        <v>19</v>
      </c>
      <c r="K1965" s="3"/>
    </row>
    <row r="1966" spans="1:11" ht="43.2" x14ac:dyDescent="0.3">
      <c r="A1966" s="3" t="s">
        <v>4070</v>
      </c>
      <c r="B1966" s="3" t="str">
        <f>"034459026"</f>
        <v>034459026</v>
      </c>
      <c r="C1966" s="3" t="s">
        <v>1312</v>
      </c>
      <c r="D1966" s="3" t="s">
        <v>4072</v>
      </c>
      <c r="E1966" s="3" t="s">
        <v>182</v>
      </c>
      <c r="F1966" s="2">
        <v>43902</v>
      </c>
      <c r="G1966" s="2"/>
      <c r="H1966" s="3085" t="s">
        <v>17</v>
      </c>
      <c r="I1966" s="3" t="s">
        <v>41</v>
      </c>
      <c r="J1966" s="3" t="s">
        <v>240</v>
      </c>
      <c r="K1966" s="3" t="s">
        <v>4073</v>
      </c>
    </row>
    <row r="1967" spans="1:11" ht="43.2" x14ac:dyDescent="0.3">
      <c r="A1967" s="3" t="s">
        <v>4070</v>
      </c>
      <c r="B1967" s="3" t="str">
        <f>"034459038"</f>
        <v>034459038</v>
      </c>
      <c r="C1967" s="3" t="s">
        <v>1312</v>
      </c>
      <c r="D1967" s="3" t="s">
        <v>4074</v>
      </c>
      <c r="E1967" s="3" t="s">
        <v>182</v>
      </c>
      <c r="F1967" s="2">
        <v>43060</v>
      </c>
      <c r="G1967" s="2"/>
      <c r="H1967" s="3086" t="s">
        <v>17</v>
      </c>
      <c r="I1967" s="3087" t="s">
        <v>18</v>
      </c>
      <c r="J1967" s="3" t="s">
        <v>19</v>
      </c>
      <c r="K1967" s="3"/>
    </row>
    <row r="1968" spans="1:11" ht="43.2" x14ac:dyDescent="0.3">
      <c r="A1968" s="3" t="s">
        <v>4075</v>
      </c>
      <c r="B1968" s="3" t="str">
        <f>"023470053"</f>
        <v>023470053</v>
      </c>
      <c r="C1968" s="3" t="s">
        <v>4076</v>
      </c>
      <c r="D1968" s="3" t="s">
        <v>4077</v>
      </c>
      <c r="E1968" s="3" t="s">
        <v>270</v>
      </c>
      <c r="F1968" s="2">
        <v>42639</v>
      </c>
      <c r="G1968" s="2"/>
      <c r="H1968" s="3088" t="s">
        <v>37</v>
      </c>
      <c r="I1968" s="3089" t="s">
        <v>18</v>
      </c>
      <c r="J1968" s="3" t="s">
        <v>19</v>
      </c>
      <c r="K1968" s="3"/>
    </row>
    <row r="1969" spans="1:11" ht="43.2" x14ac:dyDescent="0.3">
      <c r="A1969" s="3" t="s">
        <v>4075</v>
      </c>
      <c r="B1969" s="3" t="str">
        <f>"023470065"</f>
        <v>023470065</v>
      </c>
      <c r="C1969" s="3" t="s">
        <v>4076</v>
      </c>
      <c r="D1969" s="3" t="s">
        <v>4078</v>
      </c>
      <c r="E1969" s="3" t="s">
        <v>270</v>
      </c>
      <c r="F1969" s="2">
        <v>43922</v>
      </c>
      <c r="G1969" s="2"/>
      <c r="H1969" s="3090" t="s">
        <v>37</v>
      </c>
      <c r="I1969" s="3091" t="s">
        <v>18</v>
      </c>
      <c r="J1969" s="3" t="s">
        <v>19</v>
      </c>
      <c r="K1969" s="3"/>
    </row>
    <row r="1970" spans="1:11" ht="43.2" x14ac:dyDescent="0.3">
      <c r="A1970" s="3" t="s">
        <v>4079</v>
      </c>
      <c r="B1970" s="3" t="str">
        <f>"036506018"</f>
        <v>036506018</v>
      </c>
      <c r="C1970" s="3" t="s">
        <v>4080</v>
      </c>
      <c r="D1970" s="3" t="s">
        <v>4081</v>
      </c>
      <c r="E1970" s="3" t="s">
        <v>2080</v>
      </c>
      <c r="F1970" s="2">
        <v>44075</v>
      </c>
      <c r="G1970" s="2"/>
      <c r="H1970" s="3092" t="s">
        <v>37</v>
      </c>
      <c r="I1970" s="3093" t="s">
        <v>18</v>
      </c>
      <c r="J1970" s="3" t="s">
        <v>19</v>
      </c>
      <c r="K1970" s="3"/>
    </row>
    <row r="1971" spans="1:11" ht="72" x14ac:dyDescent="0.3">
      <c r="A1971" s="3" t="s">
        <v>4082</v>
      </c>
      <c r="B1971" s="3" t="str">
        <f>"034421014"</f>
        <v>034421014</v>
      </c>
      <c r="C1971" s="3" t="s">
        <v>2664</v>
      </c>
      <c r="D1971" s="3" t="s">
        <v>4083</v>
      </c>
      <c r="E1971" s="3" t="s">
        <v>115</v>
      </c>
      <c r="F1971" s="2">
        <v>42853</v>
      </c>
      <c r="G1971" s="2"/>
      <c r="H1971" s="3094" t="s">
        <v>17</v>
      </c>
      <c r="I1971" s="3095" t="s">
        <v>18</v>
      </c>
      <c r="J1971" s="3" t="s">
        <v>19</v>
      </c>
      <c r="K1971" s="3"/>
    </row>
    <row r="1972" spans="1:11" ht="72" x14ac:dyDescent="0.3">
      <c r="A1972" s="3" t="s">
        <v>4082</v>
      </c>
      <c r="B1972" s="3" t="str">
        <f>"034421026"</f>
        <v>034421026</v>
      </c>
      <c r="C1972" s="3" t="s">
        <v>2664</v>
      </c>
      <c r="D1972" s="3" t="s">
        <v>4084</v>
      </c>
      <c r="E1972" s="3" t="s">
        <v>115</v>
      </c>
      <c r="F1972" s="2">
        <v>43238</v>
      </c>
      <c r="G1972" s="2"/>
      <c r="H1972" s="3096" t="s">
        <v>17</v>
      </c>
      <c r="I1972" s="3097" t="s">
        <v>18</v>
      </c>
      <c r="J1972" s="3" t="s">
        <v>19</v>
      </c>
      <c r="K1972" s="3"/>
    </row>
    <row r="1973" spans="1:11" ht="43.2" x14ac:dyDescent="0.3">
      <c r="A1973" s="3" t="s">
        <v>4085</v>
      </c>
      <c r="B1973" s="3" t="str">
        <f>"024989028"</f>
        <v>024989028</v>
      </c>
      <c r="C1973" s="3" t="s">
        <v>4086</v>
      </c>
      <c r="D1973" s="3" t="s">
        <v>4087</v>
      </c>
      <c r="E1973" s="3" t="s">
        <v>425</v>
      </c>
      <c r="F1973" s="2">
        <v>43617</v>
      </c>
      <c r="G1973" s="2"/>
      <c r="H1973" s="3098" t="s">
        <v>17</v>
      </c>
      <c r="I1973" s="3099" t="s">
        <v>18</v>
      </c>
      <c r="J1973" s="3" t="s">
        <v>19</v>
      </c>
      <c r="K1973" s="3"/>
    </row>
    <row r="1974" spans="1:11" ht="43.2" x14ac:dyDescent="0.3">
      <c r="A1974" s="3" t="s">
        <v>4088</v>
      </c>
      <c r="B1974" s="3" t="str">
        <f>"031126055"</f>
        <v>031126055</v>
      </c>
      <c r="C1974" s="3" t="s">
        <v>889</v>
      </c>
      <c r="D1974" s="3" t="s">
        <v>4089</v>
      </c>
      <c r="E1974" s="3" t="s">
        <v>53</v>
      </c>
      <c r="F1974" s="2">
        <v>43862</v>
      </c>
      <c r="G1974" s="2"/>
      <c r="H1974" s="3100" t="s">
        <v>17</v>
      </c>
      <c r="I1974" s="3" t="s">
        <v>782</v>
      </c>
      <c r="J1974" s="3" t="s">
        <v>19</v>
      </c>
      <c r="K1974" s="3"/>
    </row>
    <row r="1975" spans="1:11" ht="57.6" x14ac:dyDescent="0.3">
      <c r="A1975" s="3" t="s">
        <v>4090</v>
      </c>
      <c r="B1975" s="3" t="str">
        <f>"031849019"</f>
        <v>031849019</v>
      </c>
      <c r="C1975" s="3" t="s">
        <v>4091</v>
      </c>
      <c r="D1975" s="3" t="s">
        <v>4092</v>
      </c>
      <c r="E1975" s="3" t="s">
        <v>4093</v>
      </c>
      <c r="F1975" s="2">
        <v>43472</v>
      </c>
      <c r="G1975" s="2"/>
      <c r="H1975" s="3101" t="s">
        <v>37</v>
      </c>
      <c r="I1975" s="3102" t="s">
        <v>18</v>
      </c>
      <c r="J1975" s="3" t="s">
        <v>156</v>
      </c>
      <c r="K1975" s="3"/>
    </row>
    <row r="1976" spans="1:11" ht="43.2" x14ac:dyDescent="0.3">
      <c r="A1976" s="3" t="s">
        <v>4094</v>
      </c>
      <c r="B1976" s="3" t="str">
        <f>"041739246"</f>
        <v>041739246</v>
      </c>
      <c r="C1976" s="3" t="s">
        <v>1702</v>
      </c>
      <c r="D1976" s="3" t="s">
        <v>4095</v>
      </c>
      <c r="E1976" s="3" t="s">
        <v>83</v>
      </c>
      <c r="F1976" s="2">
        <v>44138</v>
      </c>
      <c r="G1976" s="2"/>
      <c r="H1976" s="3103" t="s">
        <v>17</v>
      </c>
      <c r="I1976" s="3" t="s">
        <v>41</v>
      </c>
      <c r="J1976" s="3" t="s">
        <v>19</v>
      </c>
      <c r="K1976" s="3"/>
    </row>
    <row r="1977" spans="1:11" ht="43.2" x14ac:dyDescent="0.3">
      <c r="A1977" s="3" t="s">
        <v>4096</v>
      </c>
      <c r="B1977" s="3" t="str">
        <f>"042246090"</f>
        <v>042246090</v>
      </c>
      <c r="C1977" s="3" t="s">
        <v>1702</v>
      </c>
      <c r="D1977" s="3" t="s">
        <v>1704</v>
      </c>
      <c r="E1977" s="3" t="s">
        <v>481</v>
      </c>
      <c r="F1977" s="2">
        <v>43489</v>
      </c>
      <c r="G1977" s="2">
        <v>43937</v>
      </c>
      <c r="H1977" s="3104" t="s">
        <v>17</v>
      </c>
      <c r="I1977" s="3" t="s">
        <v>41</v>
      </c>
      <c r="J1977" s="3" t="s">
        <v>19</v>
      </c>
      <c r="K1977" s="3"/>
    </row>
    <row r="1978" spans="1:11" ht="43.2" x14ac:dyDescent="0.3">
      <c r="A1978" s="3" t="s">
        <v>4096</v>
      </c>
      <c r="B1978" s="3" t="str">
        <f>"042246153"</f>
        <v>042246153</v>
      </c>
      <c r="C1978" s="3" t="s">
        <v>1702</v>
      </c>
      <c r="D1978" s="3" t="s">
        <v>1705</v>
      </c>
      <c r="E1978" s="3" t="s">
        <v>481</v>
      </c>
      <c r="F1978" s="2">
        <v>43607</v>
      </c>
      <c r="G1978" s="2">
        <v>43931</v>
      </c>
      <c r="H1978" s="3105" t="s">
        <v>17</v>
      </c>
      <c r="I1978" s="3" t="s">
        <v>41</v>
      </c>
      <c r="J1978" s="3" t="s">
        <v>19</v>
      </c>
      <c r="K1978" s="3"/>
    </row>
    <row r="1979" spans="1:11" ht="43.2" x14ac:dyDescent="0.3">
      <c r="A1979" s="3" t="s">
        <v>4097</v>
      </c>
      <c r="B1979" s="3" t="str">
        <f>"039834027"</f>
        <v>039834027</v>
      </c>
      <c r="C1979" s="3" t="s">
        <v>1702</v>
      </c>
      <c r="D1979" s="3" t="s">
        <v>4098</v>
      </c>
      <c r="E1979" s="3" t="s">
        <v>263</v>
      </c>
      <c r="F1979" s="2">
        <v>44214</v>
      </c>
      <c r="G1979" s="2">
        <v>44396</v>
      </c>
      <c r="H1979" s="3106" t="s">
        <v>17</v>
      </c>
      <c r="I1979" s="3" t="s">
        <v>41</v>
      </c>
      <c r="J1979" s="3" t="s">
        <v>19</v>
      </c>
      <c r="K1979" s="3"/>
    </row>
    <row r="1980" spans="1:11" ht="86.4" x14ac:dyDescent="0.3">
      <c r="A1980" s="3" t="s">
        <v>4099</v>
      </c>
      <c r="B1980" s="3" t="str">
        <f>"037511019"</f>
        <v>037511019</v>
      </c>
      <c r="C1980" s="3" t="s">
        <v>2396</v>
      </c>
      <c r="D1980" s="3" t="s">
        <v>4100</v>
      </c>
      <c r="E1980" s="3" t="s">
        <v>53</v>
      </c>
      <c r="F1980" s="2">
        <v>43922</v>
      </c>
      <c r="G1980" s="2">
        <v>44469</v>
      </c>
      <c r="H1980" s="3107" t="s">
        <v>17</v>
      </c>
      <c r="I1980" s="3" t="s">
        <v>782</v>
      </c>
      <c r="J1980" s="3" t="s">
        <v>19</v>
      </c>
      <c r="K1980" s="3"/>
    </row>
    <row r="1981" spans="1:11" ht="86.4" x14ac:dyDescent="0.3">
      <c r="A1981" s="3" t="s">
        <v>4101</v>
      </c>
      <c r="B1981" s="3" t="str">
        <f>"038381137"</f>
        <v>038381137</v>
      </c>
      <c r="C1981" s="3" t="s">
        <v>4102</v>
      </c>
      <c r="D1981" s="3" t="s">
        <v>4103</v>
      </c>
      <c r="E1981" s="3" t="s">
        <v>115</v>
      </c>
      <c r="F1981" s="2">
        <v>42655</v>
      </c>
      <c r="G1981" s="2"/>
      <c r="H1981" s="3108" t="s">
        <v>17</v>
      </c>
      <c r="I1981" s="3109" t="s">
        <v>18</v>
      </c>
      <c r="J1981" s="3" t="s">
        <v>19</v>
      </c>
      <c r="K1981" s="3"/>
    </row>
    <row r="1982" spans="1:11" ht="86.4" x14ac:dyDescent="0.3">
      <c r="A1982" s="3" t="s">
        <v>4101</v>
      </c>
      <c r="B1982" s="3" t="str">
        <f>"038381113"</f>
        <v>038381113</v>
      </c>
      <c r="C1982" s="3" t="s">
        <v>4102</v>
      </c>
      <c r="D1982" s="3" t="s">
        <v>4104</v>
      </c>
      <c r="E1982" s="3" t="s">
        <v>115</v>
      </c>
      <c r="F1982" s="2">
        <v>42655</v>
      </c>
      <c r="G1982" s="2"/>
      <c r="H1982" s="3110" t="s">
        <v>17</v>
      </c>
      <c r="I1982" s="3111" t="s">
        <v>18</v>
      </c>
      <c r="J1982" s="3" t="s">
        <v>19</v>
      </c>
      <c r="K1982" s="3"/>
    </row>
    <row r="1983" spans="1:11" ht="86.4" x14ac:dyDescent="0.3">
      <c r="A1983" s="3" t="s">
        <v>4101</v>
      </c>
      <c r="B1983" s="3" t="str">
        <f>"038381099"</f>
        <v>038381099</v>
      </c>
      <c r="C1983" s="3" t="s">
        <v>4102</v>
      </c>
      <c r="D1983" s="3" t="s">
        <v>4105</v>
      </c>
      <c r="E1983" s="3" t="s">
        <v>115</v>
      </c>
      <c r="F1983" s="2">
        <v>42655</v>
      </c>
      <c r="G1983" s="2"/>
      <c r="H1983" s="3112" t="s">
        <v>17</v>
      </c>
      <c r="I1983" s="3113" t="s">
        <v>18</v>
      </c>
      <c r="J1983" s="3" t="s">
        <v>19</v>
      </c>
      <c r="K1983" s="3"/>
    </row>
    <row r="1984" spans="1:11" ht="86.4" x14ac:dyDescent="0.3">
      <c r="A1984" s="3" t="s">
        <v>4101</v>
      </c>
      <c r="B1984" s="3" t="str">
        <f>"038381190"</f>
        <v>038381190</v>
      </c>
      <c r="C1984" s="3" t="s">
        <v>4102</v>
      </c>
      <c r="D1984" s="3" t="s">
        <v>4106</v>
      </c>
      <c r="E1984" s="3" t="s">
        <v>115</v>
      </c>
      <c r="F1984" s="2">
        <v>42655</v>
      </c>
      <c r="G1984" s="2"/>
      <c r="H1984" s="3114" t="s">
        <v>17</v>
      </c>
      <c r="I1984" s="3115" t="s">
        <v>18</v>
      </c>
      <c r="J1984" s="3" t="s">
        <v>19</v>
      </c>
      <c r="K1984" s="3"/>
    </row>
    <row r="1985" spans="1:11" ht="86.4" x14ac:dyDescent="0.3">
      <c r="A1985" s="3" t="s">
        <v>4101</v>
      </c>
      <c r="B1985" s="3" t="str">
        <f>"038381075"</f>
        <v>038381075</v>
      </c>
      <c r="C1985" s="3" t="s">
        <v>4102</v>
      </c>
      <c r="D1985" s="3" t="s">
        <v>4107</v>
      </c>
      <c r="E1985" s="3" t="s">
        <v>115</v>
      </c>
      <c r="F1985" s="2">
        <v>42655</v>
      </c>
      <c r="G1985" s="2"/>
      <c r="H1985" s="3116" t="s">
        <v>17</v>
      </c>
      <c r="I1985" s="3117" t="s">
        <v>18</v>
      </c>
      <c r="J1985" s="3" t="s">
        <v>19</v>
      </c>
      <c r="K1985" s="3"/>
    </row>
    <row r="1986" spans="1:11" ht="86.4" x14ac:dyDescent="0.3">
      <c r="A1986" s="3" t="s">
        <v>4101</v>
      </c>
      <c r="B1986" s="3" t="str">
        <f>"038381188"</f>
        <v>038381188</v>
      </c>
      <c r="C1986" s="3" t="s">
        <v>4102</v>
      </c>
      <c r="D1986" s="3" t="s">
        <v>4108</v>
      </c>
      <c r="E1986" s="3" t="s">
        <v>115</v>
      </c>
      <c r="F1986" s="2">
        <v>42655</v>
      </c>
      <c r="G1986" s="2"/>
      <c r="H1986" s="3118" t="s">
        <v>17</v>
      </c>
      <c r="I1986" s="3119" t="s">
        <v>18</v>
      </c>
      <c r="J1986" s="3" t="s">
        <v>19</v>
      </c>
      <c r="K1986" s="3"/>
    </row>
    <row r="1987" spans="1:11" ht="86.4" x14ac:dyDescent="0.3">
      <c r="A1987" s="3" t="s">
        <v>4101</v>
      </c>
      <c r="B1987" s="3" t="str">
        <f>"038381051"</f>
        <v>038381051</v>
      </c>
      <c r="C1987" s="3" t="s">
        <v>4102</v>
      </c>
      <c r="D1987" s="3" t="s">
        <v>4109</v>
      </c>
      <c r="E1987" s="3" t="s">
        <v>115</v>
      </c>
      <c r="F1987" s="2">
        <v>42655</v>
      </c>
      <c r="G1987" s="2"/>
      <c r="H1987" s="3120" t="s">
        <v>17</v>
      </c>
      <c r="I1987" s="3121" t="s">
        <v>18</v>
      </c>
      <c r="J1987" s="3" t="s">
        <v>19</v>
      </c>
      <c r="K1987" s="3"/>
    </row>
    <row r="1988" spans="1:11" ht="86.4" x14ac:dyDescent="0.3">
      <c r="A1988" s="3" t="s">
        <v>4101</v>
      </c>
      <c r="B1988" s="3" t="str">
        <f>"038381176"</f>
        <v>038381176</v>
      </c>
      <c r="C1988" s="3" t="s">
        <v>4102</v>
      </c>
      <c r="D1988" s="3" t="s">
        <v>4110</v>
      </c>
      <c r="E1988" s="3" t="s">
        <v>115</v>
      </c>
      <c r="F1988" s="2">
        <v>42655</v>
      </c>
      <c r="G1988" s="2"/>
      <c r="H1988" s="3122" t="s">
        <v>17</v>
      </c>
      <c r="I1988" s="3123" t="s">
        <v>18</v>
      </c>
      <c r="J1988" s="3" t="s">
        <v>19</v>
      </c>
      <c r="K1988" s="3"/>
    </row>
    <row r="1989" spans="1:11" ht="86.4" x14ac:dyDescent="0.3">
      <c r="A1989" s="3" t="s">
        <v>4101</v>
      </c>
      <c r="B1989" s="3" t="str">
        <f>"038381036"</f>
        <v>038381036</v>
      </c>
      <c r="C1989" s="3" t="s">
        <v>4102</v>
      </c>
      <c r="D1989" s="3" t="s">
        <v>4111</v>
      </c>
      <c r="E1989" s="3" t="s">
        <v>115</v>
      </c>
      <c r="F1989" s="2">
        <v>42655</v>
      </c>
      <c r="G1989" s="2"/>
      <c r="H1989" s="3124" t="s">
        <v>17</v>
      </c>
      <c r="I1989" s="3125" t="s">
        <v>18</v>
      </c>
      <c r="J1989" s="3" t="s">
        <v>19</v>
      </c>
      <c r="K1989" s="3"/>
    </row>
    <row r="1990" spans="1:11" ht="86.4" x14ac:dyDescent="0.3">
      <c r="A1990" s="3" t="s">
        <v>4101</v>
      </c>
      <c r="B1990" s="3" t="str">
        <f>"038381265"</f>
        <v>038381265</v>
      </c>
      <c r="C1990" s="3" t="s">
        <v>4102</v>
      </c>
      <c r="D1990" s="3" t="s">
        <v>4112</v>
      </c>
      <c r="E1990" s="3" t="s">
        <v>115</v>
      </c>
      <c r="F1990" s="2">
        <v>43238</v>
      </c>
      <c r="G1990" s="2"/>
      <c r="H1990" s="3126" t="s">
        <v>17</v>
      </c>
      <c r="I1990" s="3127" t="s">
        <v>18</v>
      </c>
      <c r="J1990" s="3" t="s">
        <v>19</v>
      </c>
      <c r="K1990" s="3"/>
    </row>
    <row r="1991" spans="1:11" ht="100.8" x14ac:dyDescent="0.3">
      <c r="A1991" s="3" t="s">
        <v>4101</v>
      </c>
      <c r="B1991" s="3" t="str">
        <f>"038381303"</f>
        <v>038381303</v>
      </c>
      <c r="C1991" s="3" t="s">
        <v>4102</v>
      </c>
      <c r="D1991" s="3" t="s">
        <v>4113</v>
      </c>
      <c r="E1991" s="3" t="s">
        <v>115</v>
      </c>
      <c r="F1991" s="2">
        <v>43342</v>
      </c>
      <c r="G1991" s="2"/>
      <c r="H1991" s="3128" t="s">
        <v>17</v>
      </c>
      <c r="I1991" s="3129" t="s">
        <v>18</v>
      </c>
      <c r="J1991" s="3" t="s">
        <v>19</v>
      </c>
      <c r="K1991" s="3"/>
    </row>
    <row r="1992" spans="1:11" ht="100.8" x14ac:dyDescent="0.3">
      <c r="A1992" s="3" t="s">
        <v>4101</v>
      </c>
      <c r="B1992" s="3" t="str">
        <f>"038381341"</f>
        <v>038381341</v>
      </c>
      <c r="C1992" s="3" t="s">
        <v>4102</v>
      </c>
      <c r="D1992" s="3" t="s">
        <v>4114</v>
      </c>
      <c r="E1992" s="3" t="s">
        <v>115</v>
      </c>
      <c r="F1992" s="2">
        <v>43291</v>
      </c>
      <c r="G1992" s="2"/>
      <c r="H1992" s="3130" t="s">
        <v>17</v>
      </c>
      <c r="I1992" s="3131" t="s">
        <v>18</v>
      </c>
      <c r="J1992" s="3" t="s">
        <v>19</v>
      </c>
      <c r="K1992" s="3"/>
    </row>
    <row r="1993" spans="1:11" ht="100.8" x14ac:dyDescent="0.3">
      <c r="A1993" s="3" t="s">
        <v>4101</v>
      </c>
      <c r="B1993" s="3" t="str">
        <f>"038381366"</f>
        <v>038381366</v>
      </c>
      <c r="C1993" s="3" t="s">
        <v>4102</v>
      </c>
      <c r="D1993" s="3" t="s">
        <v>4115</v>
      </c>
      <c r="E1993" s="3" t="s">
        <v>115</v>
      </c>
      <c r="F1993" s="2">
        <v>43284</v>
      </c>
      <c r="G1993" s="2"/>
      <c r="H1993" s="3132" t="s">
        <v>17</v>
      </c>
      <c r="I1993" s="3133" t="s">
        <v>18</v>
      </c>
      <c r="J1993" s="3" t="s">
        <v>19</v>
      </c>
      <c r="K1993" s="3"/>
    </row>
    <row r="1994" spans="1:11" ht="86.4" x14ac:dyDescent="0.3">
      <c r="A1994" s="3" t="s">
        <v>4101</v>
      </c>
      <c r="B1994" s="3" t="str">
        <f>"038381428"</f>
        <v>038381428</v>
      </c>
      <c r="C1994" s="3" t="s">
        <v>4102</v>
      </c>
      <c r="D1994" s="3" t="s">
        <v>4116</v>
      </c>
      <c r="E1994" s="3" t="s">
        <v>115</v>
      </c>
      <c r="F1994" s="2">
        <v>43542</v>
      </c>
      <c r="G1994" s="2"/>
      <c r="H1994" s="3134" t="s">
        <v>17</v>
      </c>
      <c r="I1994" s="3135" t="s">
        <v>18</v>
      </c>
      <c r="J1994" s="3" t="s">
        <v>19</v>
      </c>
      <c r="K1994" s="3"/>
    </row>
    <row r="1995" spans="1:11" ht="100.8" x14ac:dyDescent="0.3">
      <c r="A1995" s="3" t="s">
        <v>4101</v>
      </c>
      <c r="B1995" s="3" t="str">
        <f>"038381430"</f>
        <v>038381430</v>
      </c>
      <c r="C1995" s="3" t="s">
        <v>4102</v>
      </c>
      <c r="D1995" s="3" t="s">
        <v>4117</v>
      </c>
      <c r="E1995" s="3" t="s">
        <v>115</v>
      </c>
      <c r="F1995" s="2">
        <v>43392</v>
      </c>
      <c r="G1995" s="2"/>
      <c r="H1995" s="3136" t="s">
        <v>17</v>
      </c>
      <c r="I1995" s="3137" t="s">
        <v>18</v>
      </c>
      <c r="J1995" s="3" t="s">
        <v>19</v>
      </c>
      <c r="K1995" s="3"/>
    </row>
    <row r="1996" spans="1:11" ht="100.8" x14ac:dyDescent="0.3">
      <c r="A1996" s="3" t="s">
        <v>4101</v>
      </c>
      <c r="B1996" s="3" t="str">
        <f>"038381442"</f>
        <v>038381442</v>
      </c>
      <c r="C1996" s="3" t="s">
        <v>4102</v>
      </c>
      <c r="D1996" s="3" t="s">
        <v>4118</v>
      </c>
      <c r="E1996" s="3" t="s">
        <v>115</v>
      </c>
      <c r="F1996" s="2">
        <v>43368</v>
      </c>
      <c r="G1996" s="2"/>
      <c r="H1996" s="3138" t="s">
        <v>17</v>
      </c>
      <c r="I1996" s="3139" t="s">
        <v>18</v>
      </c>
      <c r="J1996" s="3" t="s">
        <v>19</v>
      </c>
      <c r="K1996" s="3"/>
    </row>
    <row r="1997" spans="1:11" ht="86.4" x14ac:dyDescent="0.3">
      <c r="A1997" s="3" t="s">
        <v>4101</v>
      </c>
      <c r="B1997" s="3" t="str">
        <f>"038381152"</f>
        <v>038381152</v>
      </c>
      <c r="C1997" s="3" t="s">
        <v>4102</v>
      </c>
      <c r="D1997" s="3" t="s">
        <v>4119</v>
      </c>
      <c r="E1997" s="3" t="s">
        <v>115</v>
      </c>
      <c r="F1997" s="2">
        <v>42655</v>
      </c>
      <c r="G1997" s="2"/>
      <c r="H1997" s="3140" t="s">
        <v>17</v>
      </c>
      <c r="I1997" s="3141" t="s">
        <v>18</v>
      </c>
      <c r="J1997" s="3" t="s">
        <v>19</v>
      </c>
      <c r="K1997" s="3"/>
    </row>
    <row r="1998" spans="1:11" ht="86.4" x14ac:dyDescent="0.3">
      <c r="A1998" s="3" t="s">
        <v>4101</v>
      </c>
      <c r="B1998" s="3" t="str">
        <f>"038381012"</f>
        <v>038381012</v>
      </c>
      <c r="C1998" s="3" t="s">
        <v>4102</v>
      </c>
      <c r="D1998" s="3" t="s">
        <v>4120</v>
      </c>
      <c r="E1998" s="3" t="s">
        <v>115</v>
      </c>
      <c r="F1998" s="2">
        <v>42655</v>
      </c>
      <c r="G1998" s="2"/>
      <c r="H1998" s="3142" t="s">
        <v>37</v>
      </c>
      <c r="I1998" s="3143" t="s">
        <v>18</v>
      </c>
      <c r="J1998" s="3" t="s">
        <v>19</v>
      </c>
      <c r="K1998" s="3"/>
    </row>
    <row r="1999" spans="1:11" ht="100.8" x14ac:dyDescent="0.3">
      <c r="A1999" s="3" t="s">
        <v>4101</v>
      </c>
      <c r="B1999" s="3" t="str">
        <f>"038381327"</f>
        <v>038381327</v>
      </c>
      <c r="C1999" s="3" t="s">
        <v>4102</v>
      </c>
      <c r="D1999" s="3" t="s">
        <v>4121</v>
      </c>
      <c r="E1999" s="3" t="s">
        <v>115</v>
      </c>
      <c r="F1999" s="2">
        <v>43250</v>
      </c>
      <c r="G1999" s="2"/>
      <c r="H1999" s="3144" t="s">
        <v>17</v>
      </c>
      <c r="I1999" s="3145" t="s">
        <v>18</v>
      </c>
      <c r="J1999" s="3" t="s">
        <v>19</v>
      </c>
      <c r="K1999" s="3"/>
    </row>
    <row r="2000" spans="1:11" ht="100.8" x14ac:dyDescent="0.3">
      <c r="A2000" s="3" t="s">
        <v>4101</v>
      </c>
      <c r="B2000" s="3" t="str">
        <f>"038381404"</f>
        <v>038381404</v>
      </c>
      <c r="C2000" s="3" t="s">
        <v>4102</v>
      </c>
      <c r="D2000" s="3" t="s">
        <v>4122</v>
      </c>
      <c r="E2000" s="3" t="s">
        <v>115</v>
      </c>
      <c r="F2000" s="2">
        <v>43269</v>
      </c>
      <c r="G2000" s="2"/>
      <c r="H2000" s="3146" t="s">
        <v>17</v>
      </c>
      <c r="I2000" s="3147" t="s">
        <v>18</v>
      </c>
      <c r="J2000" s="3" t="s">
        <v>19</v>
      </c>
      <c r="K2000" s="3"/>
    </row>
    <row r="2001" spans="1:11" ht="43.2" x14ac:dyDescent="0.3">
      <c r="A2001" s="3" t="s">
        <v>4123</v>
      </c>
      <c r="B2001" s="3" t="str">
        <f>"040750046"</f>
        <v>040750046</v>
      </c>
      <c r="C2001" s="3" t="s">
        <v>1312</v>
      </c>
      <c r="D2001" s="3" t="s">
        <v>4124</v>
      </c>
      <c r="E2001" s="3" t="s">
        <v>513</v>
      </c>
      <c r="F2001" s="2">
        <v>41872</v>
      </c>
      <c r="G2001" s="2"/>
      <c r="H2001" s="3148" t="s">
        <v>17</v>
      </c>
      <c r="I2001" s="3149" t="s">
        <v>18</v>
      </c>
      <c r="J2001" s="3" t="s">
        <v>19</v>
      </c>
      <c r="K2001" s="3"/>
    </row>
    <row r="2002" spans="1:11" ht="43.2" x14ac:dyDescent="0.3">
      <c r="A2002" s="3" t="s">
        <v>4125</v>
      </c>
      <c r="B2002" s="3" t="str">
        <f>"039363015"</f>
        <v>039363015</v>
      </c>
      <c r="C2002" s="3" t="s">
        <v>1312</v>
      </c>
      <c r="D2002" s="3" t="s">
        <v>4126</v>
      </c>
      <c r="E2002" s="3" t="s">
        <v>122</v>
      </c>
      <c r="F2002" s="2">
        <v>43530</v>
      </c>
      <c r="G2002" s="2"/>
      <c r="H2002" s="3150" t="s">
        <v>17</v>
      </c>
      <c r="I2002" s="3151" t="s">
        <v>18</v>
      </c>
      <c r="J2002" s="3" t="s">
        <v>19</v>
      </c>
      <c r="K2002" s="3"/>
    </row>
    <row r="2003" spans="1:11" ht="43.2" x14ac:dyDescent="0.3">
      <c r="A2003" s="3" t="s">
        <v>4125</v>
      </c>
      <c r="B2003" s="3" t="str">
        <f>"039363039"</f>
        <v>039363039</v>
      </c>
      <c r="C2003" s="3" t="s">
        <v>1312</v>
      </c>
      <c r="D2003" s="3" t="s">
        <v>4127</v>
      </c>
      <c r="E2003" s="3" t="s">
        <v>122</v>
      </c>
      <c r="F2003" s="2">
        <v>43530</v>
      </c>
      <c r="G2003" s="2"/>
      <c r="H2003" s="3152" t="s">
        <v>17</v>
      </c>
      <c r="I2003" s="3153" t="s">
        <v>18</v>
      </c>
      <c r="J2003" s="3" t="s">
        <v>19</v>
      </c>
      <c r="K2003" s="3"/>
    </row>
    <row r="2004" spans="1:11" ht="57.6" x14ac:dyDescent="0.3">
      <c r="A2004" s="3" t="s">
        <v>4128</v>
      </c>
      <c r="B2004" s="3" t="str">
        <f>"039617129"</f>
        <v>039617129</v>
      </c>
      <c r="C2004" s="3" t="s">
        <v>1312</v>
      </c>
      <c r="D2004" s="3" t="s">
        <v>4129</v>
      </c>
      <c r="E2004" s="3" t="s">
        <v>122</v>
      </c>
      <c r="F2004" s="2">
        <v>42156</v>
      </c>
      <c r="G2004" s="2"/>
      <c r="H2004" s="3154" t="s">
        <v>17</v>
      </c>
      <c r="I2004" s="3155" t="s">
        <v>18</v>
      </c>
      <c r="J2004" s="3" t="s">
        <v>19</v>
      </c>
      <c r="K2004" s="3"/>
    </row>
    <row r="2005" spans="1:11" ht="72" x14ac:dyDescent="0.3">
      <c r="A2005" s="3" t="s">
        <v>4130</v>
      </c>
      <c r="B2005" s="3" t="str">
        <f>"028373025"</f>
        <v>028373025</v>
      </c>
      <c r="C2005" s="3" t="s">
        <v>2320</v>
      </c>
      <c r="D2005" s="3" t="s">
        <v>2321</v>
      </c>
      <c r="E2005" s="3" t="s">
        <v>315</v>
      </c>
      <c r="F2005" s="2">
        <v>43465</v>
      </c>
      <c r="G2005" s="2"/>
      <c r="H2005" s="3156" t="s">
        <v>17</v>
      </c>
      <c r="I2005" s="3" t="s">
        <v>41</v>
      </c>
      <c r="J2005" s="3" t="s">
        <v>156</v>
      </c>
      <c r="K2005" s="3"/>
    </row>
    <row r="2006" spans="1:11" ht="43.2" x14ac:dyDescent="0.3">
      <c r="A2006" s="3" t="s">
        <v>4131</v>
      </c>
      <c r="B2006" s="3" t="str">
        <f>"025303049"</f>
        <v>025303049</v>
      </c>
      <c r="C2006" s="3" t="s">
        <v>3409</v>
      </c>
      <c r="D2006" s="3" t="s">
        <v>4132</v>
      </c>
      <c r="E2006" s="3" t="s">
        <v>2457</v>
      </c>
      <c r="F2006" s="2">
        <v>43453</v>
      </c>
      <c r="G2006" s="2"/>
      <c r="H2006" s="3157" t="s">
        <v>17</v>
      </c>
      <c r="I2006" s="3158" t="s">
        <v>18</v>
      </c>
      <c r="J2006" s="3" t="s">
        <v>19</v>
      </c>
      <c r="K2006" s="3"/>
    </row>
    <row r="2007" spans="1:11" ht="57.6" x14ac:dyDescent="0.3">
      <c r="A2007" s="3" t="s">
        <v>4133</v>
      </c>
      <c r="B2007" s="3" t="str">
        <f>"025377033"</f>
        <v>025377033</v>
      </c>
      <c r="C2007" s="3" t="s">
        <v>4134</v>
      </c>
      <c r="D2007" s="3" t="s">
        <v>4135</v>
      </c>
      <c r="E2007" s="3" t="s">
        <v>161</v>
      </c>
      <c r="F2007" s="2">
        <v>44117</v>
      </c>
      <c r="G2007" s="2">
        <v>44165</v>
      </c>
      <c r="H2007" s="3159" t="s">
        <v>37</v>
      </c>
      <c r="I2007" s="3" t="s">
        <v>38</v>
      </c>
      <c r="J2007" s="3" t="s">
        <v>156</v>
      </c>
      <c r="K2007" s="3"/>
    </row>
    <row r="2008" spans="1:11" ht="43.2" x14ac:dyDescent="0.3">
      <c r="A2008" s="3" t="s">
        <v>4136</v>
      </c>
      <c r="B2008" s="3" t="str">
        <f>"032887010"</f>
        <v>032887010</v>
      </c>
      <c r="C2008" s="3" t="s">
        <v>4137</v>
      </c>
      <c r="D2008" s="3" t="s">
        <v>4138</v>
      </c>
      <c r="E2008" s="3" t="s">
        <v>4139</v>
      </c>
      <c r="F2008" s="2">
        <v>43699</v>
      </c>
      <c r="G2008" s="2">
        <v>44135</v>
      </c>
      <c r="H2008" s="3160" t="s">
        <v>17</v>
      </c>
      <c r="I2008" s="3" t="s">
        <v>41</v>
      </c>
      <c r="J2008" s="3" t="s">
        <v>19</v>
      </c>
      <c r="K2008" s="3"/>
    </row>
    <row r="2009" spans="1:11" ht="43.2" x14ac:dyDescent="0.3">
      <c r="A2009" s="3" t="s">
        <v>4140</v>
      </c>
      <c r="B2009" s="3" t="str">
        <f>"040541070"</f>
        <v>040541070</v>
      </c>
      <c r="C2009" s="3" t="s">
        <v>4137</v>
      </c>
      <c r="D2009" s="3" t="s">
        <v>4141</v>
      </c>
      <c r="E2009" s="3" t="s">
        <v>83</v>
      </c>
      <c r="F2009" s="2">
        <v>44113</v>
      </c>
      <c r="G2009" s="2">
        <v>44196</v>
      </c>
      <c r="H2009" s="3161" t="s">
        <v>17</v>
      </c>
      <c r="I2009" s="3" t="s">
        <v>178</v>
      </c>
      <c r="J2009" s="3" t="s">
        <v>19</v>
      </c>
      <c r="K2009" s="3"/>
    </row>
    <row r="2010" spans="1:11" ht="43.2" x14ac:dyDescent="0.3">
      <c r="A2010" s="3" t="s">
        <v>4142</v>
      </c>
      <c r="B2010" s="3" t="str">
        <f>"041946031"</f>
        <v>041946031</v>
      </c>
      <c r="C2010" s="3" t="s">
        <v>4137</v>
      </c>
      <c r="D2010" s="3" t="s">
        <v>4143</v>
      </c>
      <c r="E2010" s="3" t="s">
        <v>107</v>
      </c>
      <c r="F2010" s="2">
        <v>44142</v>
      </c>
      <c r="G2010" s="2"/>
      <c r="H2010" s="3162" t="s">
        <v>17</v>
      </c>
      <c r="I2010" s="3" t="s">
        <v>41</v>
      </c>
      <c r="J2010" s="3" t="s">
        <v>19</v>
      </c>
      <c r="K2010" s="3"/>
    </row>
    <row r="2011" spans="1:11" ht="43.2" x14ac:dyDescent="0.3">
      <c r="A2011" s="3" t="s">
        <v>4144</v>
      </c>
      <c r="B2011" s="3" t="str">
        <f>"041732037"</f>
        <v>041732037</v>
      </c>
      <c r="C2011" s="3" t="s">
        <v>1491</v>
      </c>
      <c r="D2011" s="3" t="s">
        <v>4145</v>
      </c>
      <c r="E2011" s="3" t="s">
        <v>1238</v>
      </c>
      <c r="F2011" s="2">
        <v>44247</v>
      </c>
      <c r="G2011" s="2">
        <v>44561</v>
      </c>
      <c r="H2011" s="3163" t="s">
        <v>17</v>
      </c>
      <c r="I2011" s="3" t="s">
        <v>178</v>
      </c>
      <c r="J2011" s="3" t="s">
        <v>19</v>
      </c>
      <c r="K2011" s="3"/>
    </row>
    <row r="2012" spans="1:11" ht="43.2" x14ac:dyDescent="0.3">
      <c r="A2012" s="3" t="s">
        <v>4144</v>
      </c>
      <c r="B2012" s="3" t="str">
        <f>"041732052"</f>
        <v>041732052</v>
      </c>
      <c r="C2012" s="3" t="s">
        <v>1491</v>
      </c>
      <c r="D2012" s="3" t="s">
        <v>4146</v>
      </c>
      <c r="E2012" s="3" t="s">
        <v>1238</v>
      </c>
      <c r="F2012" s="2">
        <v>44247</v>
      </c>
      <c r="G2012" s="2">
        <v>44561</v>
      </c>
      <c r="H2012" s="3164" t="s">
        <v>17</v>
      </c>
      <c r="I2012" s="3" t="s">
        <v>178</v>
      </c>
      <c r="J2012" s="3" t="s">
        <v>19</v>
      </c>
      <c r="K2012" s="3"/>
    </row>
    <row r="2013" spans="1:11" ht="43.2" x14ac:dyDescent="0.3">
      <c r="A2013" s="3" t="s">
        <v>4147</v>
      </c>
      <c r="B2013" s="3" t="str">
        <f>"039806031"</f>
        <v>039806031</v>
      </c>
      <c r="C2013" s="3" t="s">
        <v>4148</v>
      </c>
      <c r="D2013" s="3" t="s">
        <v>4149</v>
      </c>
      <c r="E2013" s="3" t="s">
        <v>1679</v>
      </c>
      <c r="F2013" s="2">
        <v>44013</v>
      </c>
      <c r="G2013" s="2"/>
      <c r="H2013" s="3165" t="s">
        <v>17</v>
      </c>
      <c r="I2013" s="3" t="s">
        <v>41</v>
      </c>
      <c r="J2013" s="3" t="s">
        <v>19</v>
      </c>
      <c r="K2013" s="3"/>
    </row>
    <row r="2014" spans="1:11" ht="43.2" x14ac:dyDescent="0.3">
      <c r="A2014" s="3" t="s">
        <v>4150</v>
      </c>
      <c r="B2014" s="3" t="str">
        <f>"041378011"</f>
        <v>041378011</v>
      </c>
      <c r="C2014" s="3" t="s">
        <v>4148</v>
      </c>
      <c r="D2014" s="3" t="s">
        <v>4151</v>
      </c>
      <c r="E2014" s="3" t="s">
        <v>518</v>
      </c>
      <c r="F2014" s="2">
        <v>43656</v>
      </c>
      <c r="G2014" s="2"/>
      <c r="H2014" s="3166" t="s">
        <v>17</v>
      </c>
      <c r="I2014" s="3" t="s">
        <v>41</v>
      </c>
      <c r="J2014" s="3" t="s">
        <v>19</v>
      </c>
      <c r="K2014" s="3"/>
    </row>
    <row r="2015" spans="1:11" ht="43.2" x14ac:dyDescent="0.3">
      <c r="A2015" s="3" t="s">
        <v>4152</v>
      </c>
      <c r="B2015" s="3" t="str">
        <f>"039129109"</f>
        <v>039129109</v>
      </c>
      <c r="C2015" s="3" t="s">
        <v>4153</v>
      </c>
      <c r="D2015" s="3" t="s">
        <v>4154</v>
      </c>
      <c r="E2015" s="3" t="s">
        <v>16</v>
      </c>
      <c r="F2015" s="2">
        <v>43602</v>
      </c>
      <c r="G2015" s="2"/>
      <c r="H2015" s="3167" t="s">
        <v>17</v>
      </c>
      <c r="I2015" s="3168" t="s">
        <v>32</v>
      </c>
      <c r="J2015" s="3" t="s">
        <v>19</v>
      </c>
      <c r="K2015" s="3"/>
    </row>
    <row r="2016" spans="1:11" ht="43.2" x14ac:dyDescent="0.3">
      <c r="A2016" s="3" t="s">
        <v>4152</v>
      </c>
      <c r="B2016" s="3" t="str">
        <f>"039129150"</f>
        <v>039129150</v>
      </c>
      <c r="C2016" s="3" t="s">
        <v>4153</v>
      </c>
      <c r="D2016" s="3" t="s">
        <v>4155</v>
      </c>
      <c r="E2016" s="3" t="s">
        <v>16</v>
      </c>
      <c r="F2016" s="2">
        <v>43609</v>
      </c>
      <c r="G2016" s="2"/>
      <c r="H2016" s="3169" t="s">
        <v>17</v>
      </c>
      <c r="I2016" s="3170" t="s">
        <v>32</v>
      </c>
      <c r="J2016" s="3" t="s">
        <v>19</v>
      </c>
      <c r="K2016" s="3"/>
    </row>
    <row r="2017" spans="1:11" ht="43.2" x14ac:dyDescent="0.3">
      <c r="A2017" s="3" t="s">
        <v>4152</v>
      </c>
      <c r="B2017" s="3" t="str">
        <f>"039129200"</f>
        <v>039129200</v>
      </c>
      <c r="C2017" s="3" t="s">
        <v>4153</v>
      </c>
      <c r="D2017" s="3" t="s">
        <v>4156</v>
      </c>
      <c r="E2017" s="3" t="s">
        <v>16</v>
      </c>
      <c r="F2017" s="2">
        <v>43602</v>
      </c>
      <c r="G2017" s="2"/>
      <c r="H2017" s="3171" t="s">
        <v>17</v>
      </c>
      <c r="I2017" s="3172" t="s">
        <v>32</v>
      </c>
      <c r="J2017" s="3" t="s">
        <v>19</v>
      </c>
      <c r="K2017" s="3"/>
    </row>
    <row r="2018" spans="1:11" ht="43.2" x14ac:dyDescent="0.3">
      <c r="A2018" s="3" t="s">
        <v>4152</v>
      </c>
      <c r="B2018" s="3" t="str">
        <f>"039129251"</f>
        <v>039129251</v>
      </c>
      <c r="C2018" s="3" t="s">
        <v>4153</v>
      </c>
      <c r="D2018" s="3" t="s">
        <v>4157</v>
      </c>
      <c r="E2018" s="3" t="s">
        <v>16</v>
      </c>
      <c r="F2018" s="2">
        <v>43602</v>
      </c>
      <c r="G2018" s="2"/>
      <c r="H2018" s="3173" t="s">
        <v>17</v>
      </c>
      <c r="I2018" s="3174" t="s">
        <v>32</v>
      </c>
      <c r="J2018" s="3" t="s">
        <v>19</v>
      </c>
      <c r="K2018" s="3"/>
    </row>
    <row r="2019" spans="1:11" ht="43.2" x14ac:dyDescent="0.3">
      <c r="A2019" s="3" t="s">
        <v>4158</v>
      </c>
      <c r="B2019" s="3" t="str">
        <f>"040078192"</f>
        <v>040078192</v>
      </c>
      <c r="C2019" s="3" t="s">
        <v>4153</v>
      </c>
      <c r="D2019" s="3" t="s">
        <v>4159</v>
      </c>
      <c r="E2019" s="3" t="s">
        <v>83</v>
      </c>
      <c r="F2019" s="2">
        <v>43237</v>
      </c>
      <c r="G2019" s="2"/>
      <c r="H2019" s="3175" t="s">
        <v>17</v>
      </c>
      <c r="I2019" s="3" t="s">
        <v>41</v>
      </c>
      <c r="J2019" s="3" t="s">
        <v>19</v>
      </c>
      <c r="K2019" s="3"/>
    </row>
    <row r="2020" spans="1:11" ht="86.4" x14ac:dyDescent="0.3">
      <c r="A2020" s="3" t="s">
        <v>4160</v>
      </c>
      <c r="B2020" s="3" t="str">
        <f>"042441028"</f>
        <v>042441028</v>
      </c>
      <c r="C2020" s="3" t="s">
        <v>4153</v>
      </c>
      <c r="D2020" s="3" t="s">
        <v>4161</v>
      </c>
      <c r="E2020" s="3" t="s">
        <v>83</v>
      </c>
      <c r="F2020" s="2">
        <v>43453</v>
      </c>
      <c r="G2020" s="2"/>
      <c r="H2020" s="3176" t="s">
        <v>17</v>
      </c>
      <c r="I2020" s="3" t="s">
        <v>41</v>
      </c>
      <c r="J2020" s="3" t="s">
        <v>19</v>
      </c>
      <c r="K2020" s="3"/>
    </row>
    <row r="2021" spans="1:11" ht="43.2" x14ac:dyDescent="0.3">
      <c r="A2021" s="3" t="s">
        <v>4162</v>
      </c>
      <c r="B2021" s="3" t="str">
        <f>"037599406"</f>
        <v>037599406</v>
      </c>
      <c r="C2021" s="3" t="s">
        <v>4153</v>
      </c>
      <c r="D2021" s="3" t="s">
        <v>4163</v>
      </c>
      <c r="E2021" s="3" t="s">
        <v>107</v>
      </c>
      <c r="F2021" s="2">
        <v>43675</v>
      </c>
      <c r="G2021" s="2"/>
      <c r="H2021" s="3177" t="s">
        <v>17</v>
      </c>
      <c r="I2021" s="3" t="s">
        <v>41</v>
      </c>
      <c r="J2021" s="3" t="s">
        <v>19</v>
      </c>
      <c r="K2021" s="3"/>
    </row>
    <row r="2022" spans="1:11" ht="43.2" x14ac:dyDescent="0.3">
      <c r="A2022" s="3" t="s">
        <v>4164</v>
      </c>
      <c r="B2022" s="3" t="str">
        <f>"041787021"</f>
        <v>041787021</v>
      </c>
      <c r="C2022" s="3" t="s">
        <v>1383</v>
      </c>
      <c r="D2022" s="3" t="s">
        <v>4165</v>
      </c>
      <c r="E2022" s="3" t="s">
        <v>83</v>
      </c>
      <c r="F2022" s="2">
        <v>44138</v>
      </c>
      <c r="G2022" s="2"/>
      <c r="H2022" s="3178" t="s">
        <v>17</v>
      </c>
      <c r="I2022" s="3" t="s">
        <v>41</v>
      </c>
      <c r="J2022" s="3" t="s">
        <v>19</v>
      </c>
      <c r="K2022" s="3"/>
    </row>
    <row r="2023" spans="1:11" ht="57.6" x14ac:dyDescent="0.3">
      <c r="A2023" s="3" t="s">
        <v>4166</v>
      </c>
      <c r="B2023" s="3" t="str">
        <f>"034776043"</f>
        <v>034776043</v>
      </c>
      <c r="C2023" s="3" t="s">
        <v>4167</v>
      </c>
      <c r="D2023" s="3" t="s">
        <v>4168</v>
      </c>
      <c r="E2023" s="3" t="s">
        <v>107</v>
      </c>
      <c r="F2023" s="2">
        <v>41877</v>
      </c>
      <c r="G2023" s="2"/>
      <c r="H2023" s="3179" t="s">
        <v>17</v>
      </c>
      <c r="I2023" s="3180" t="s">
        <v>18</v>
      </c>
      <c r="J2023" s="3" t="s">
        <v>19</v>
      </c>
      <c r="K2023" s="3"/>
    </row>
    <row r="2024" spans="1:11" ht="57.6" x14ac:dyDescent="0.3">
      <c r="A2024" s="3" t="s">
        <v>4166</v>
      </c>
      <c r="B2024" s="3" t="str">
        <f>"034776132"</f>
        <v>034776132</v>
      </c>
      <c r="C2024" s="3" t="s">
        <v>4167</v>
      </c>
      <c r="D2024" s="3" t="s">
        <v>4169</v>
      </c>
      <c r="E2024" s="3" t="s">
        <v>107</v>
      </c>
      <c r="F2024" s="2">
        <v>41673</v>
      </c>
      <c r="G2024" s="2"/>
      <c r="H2024" s="3181" t="s">
        <v>17</v>
      </c>
      <c r="I2024" s="3182" t="s">
        <v>18</v>
      </c>
      <c r="J2024" s="3" t="s">
        <v>19</v>
      </c>
      <c r="K2024" s="3"/>
    </row>
    <row r="2025" spans="1:11" ht="57.6" x14ac:dyDescent="0.3">
      <c r="A2025" s="3" t="s">
        <v>4166</v>
      </c>
      <c r="B2025" s="3" t="str">
        <f>"034776094"</f>
        <v>034776094</v>
      </c>
      <c r="C2025" s="3" t="s">
        <v>4167</v>
      </c>
      <c r="D2025" s="3" t="s">
        <v>4170</v>
      </c>
      <c r="E2025" s="3" t="s">
        <v>107</v>
      </c>
      <c r="F2025" s="2">
        <v>41673</v>
      </c>
      <c r="G2025" s="2"/>
      <c r="H2025" s="3183" t="s">
        <v>17</v>
      </c>
      <c r="I2025" s="3184" t="s">
        <v>18</v>
      </c>
      <c r="J2025" s="3" t="s">
        <v>19</v>
      </c>
      <c r="K2025" s="3"/>
    </row>
    <row r="2026" spans="1:11" ht="72" x14ac:dyDescent="0.3">
      <c r="A2026" s="3" t="s">
        <v>4171</v>
      </c>
      <c r="B2026" s="3" t="str">
        <f>"043796034"</f>
        <v>043796034</v>
      </c>
      <c r="C2026" s="3" t="s">
        <v>281</v>
      </c>
      <c r="D2026" s="3" t="s">
        <v>4172</v>
      </c>
      <c r="E2026" s="3" t="s">
        <v>177</v>
      </c>
      <c r="F2026" s="2">
        <v>44077</v>
      </c>
      <c r="G2026" s="2">
        <v>44255</v>
      </c>
      <c r="H2026" s="3185" t="s">
        <v>37</v>
      </c>
      <c r="I2026" s="3" t="s">
        <v>178</v>
      </c>
      <c r="J2026" s="3" t="s">
        <v>19</v>
      </c>
      <c r="K2026" s="3"/>
    </row>
    <row r="2027" spans="1:11" ht="72" x14ac:dyDescent="0.3">
      <c r="A2027" s="3" t="s">
        <v>4171</v>
      </c>
      <c r="B2027" s="3" t="str">
        <f>"043796046"</f>
        <v>043796046</v>
      </c>
      <c r="C2027" s="3" t="s">
        <v>281</v>
      </c>
      <c r="D2027" s="3" t="s">
        <v>4173</v>
      </c>
      <c r="E2027" s="3" t="s">
        <v>177</v>
      </c>
      <c r="F2027" s="2">
        <v>44077</v>
      </c>
      <c r="G2027" s="2">
        <v>44255</v>
      </c>
      <c r="H2027" s="3186" t="s">
        <v>37</v>
      </c>
      <c r="I2027" s="3" t="s">
        <v>178</v>
      </c>
      <c r="J2027" s="3" t="s">
        <v>19</v>
      </c>
      <c r="K2027" s="3"/>
    </row>
    <row r="2028" spans="1:11" ht="43.2" x14ac:dyDescent="0.3">
      <c r="A2028" s="3" t="s">
        <v>4174</v>
      </c>
      <c r="B2028" s="3" t="str">
        <f>"041562036"</f>
        <v>041562036</v>
      </c>
      <c r="C2028" s="3" t="s">
        <v>4175</v>
      </c>
      <c r="D2028" s="3" t="s">
        <v>4176</v>
      </c>
      <c r="E2028" s="3" t="s">
        <v>83</v>
      </c>
      <c r="F2028" s="2">
        <v>43656</v>
      </c>
      <c r="G2028" s="2"/>
      <c r="H2028" s="3187" t="s">
        <v>17</v>
      </c>
      <c r="I2028" s="3" t="s">
        <v>41</v>
      </c>
      <c r="J2028" s="3" t="s">
        <v>19</v>
      </c>
      <c r="K2028" s="3"/>
    </row>
    <row r="2029" spans="1:11" ht="43.2" x14ac:dyDescent="0.3">
      <c r="A2029" s="3" t="s">
        <v>4177</v>
      </c>
      <c r="B2029" s="3" t="str">
        <f>"041351103"</f>
        <v>041351103</v>
      </c>
      <c r="C2029" s="3" t="s">
        <v>4175</v>
      </c>
      <c r="D2029" s="3" t="s">
        <v>4178</v>
      </c>
      <c r="E2029" s="3" t="s">
        <v>27</v>
      </c>
      <c r="F2029" s="2">
        <v>44199</v>
      </c>
      <c r="G2029" s="2">
        <v>44255</v>
      </c>
      <c r="H2029" s="3188" t="s">
        <v>17</v>
      </c>
      <c r="I2029" s="3" t="s">
        <v>104</v>
      </c>
      <c r="J2029" s="3" t="s">
        <v>19</v>
      </c>
      <c r="K2029" s="3"/>
    </row>
    <row r="2030" spans="1:11" ht="86.4" x14ac:dyDescent="0.3">
      <c r="A2030" s="3" t="s">
        <v>4179</v>
      </c>
      <c r="B2030" s="3" t="str">
        <f>"025284011"</f>
        <v>025284011</v>
      </c>
      <c r="C2030" s="3" t="s">
        <v>4180</v>
      </c>
      <c r="D2030" s="3" t="s">
        <v>4181</v>
      </c>
      <c r="E2030" s="3" t="s">
        <v>2457</v>
      </c>
      <c r="F2030" s="2">
        <v>44089</v>
      </c>
      <c r="G2030" s="2">
        <v>44317</v>
      </c>
      <c r="H2030" s="3189" t="s">
        <v>17</v>
      </c>
      <c r="I2030" s="3" t="s">
        <v>41</v>
      </c>
      <c r="J2030" s="3" t="s">
        <v>39</v>
      </c>
      <c r="K2030" s="3"/>
    </row>
    <row r="2031" spans="1:11" ht="86.4" x14ac:dyDescent="0.3">
      <c r="A2031" s="3" t="s">
        <v>4179</v>
      </c>
      <c r="B2031" s="3" t="str">
        <f>"025284023"</f>
        <v>025284023</v>
      </c>
      <c r="C2031" s="3" t="s">
        <v>4180</v>
      </c>
      <c r="D2031" s="3" t="s">
        <v>4182</v>
      </c>
      <c r="E2031" s="3" t="s">
        <v>2457</v>
      </c>
      <c r="F2031" s="2">
        <v>43983</v>
      </c>
      <c r="G2031" s="2">
        <v>44317</v>
      </c>
      <c r="H2031" s="3190" t="s">
        <v>17</v>
      </c>
      <c r="I2031" s="3" t="s">
        <v>41</v>
      </c>
      <c r="J2031" s="3" t="s">
        <v>39</v>
      </c>
      <c r="K2031" s="3"/>
    </row>
    <row r="2032" spans="1:11" ht="86.4" x14ac:dyDescent="0.3">
      <c r="A2032" s="3" t="s">
        <v>4179</v>
      </c>
      <c r="B2032" s="3" t="str">
        <f>"025284035"</f>
        <v>025284035</v>
      </c>
      <c r="C2032" s="3" t="s">
        <v>4180</v>
      </c>
      <c r="D2032" s="3" t="s">
        <v>4183</v>
      </c>
      <c r="E2032" s="3" t="s">
        <v>2457</v>
      </c>
      <c r="F2032" s="2">
        <v>44044</v>
      </c>
      <c r="G2032" s="2">
        <v>44317</v>
      </c>
      <c r="H2032" s="3191" t="s">
        <v>17</v>
      </c>
      <c r="I2032" s="3" t="s">
        <v>41</v>
      </c>
      <c r="J2032" s="3" t="s">
        <v>39</v>
      </c>
      <c r="K2032" s="3"/>
    </row>
    <row r="2033" spans="1:11" ht="72" x14ac:dyDescent="0.3">
      <c r="A2033" s="3" t="s">
        <v>4184</v>
      </c>
      <c r="B2033" s="3" t="str">
        <f>"038937088"</f>
        <v>038937088</v>
      </c>
      <c r="C2033" s="3" t="s">
        <v>4185</v>
      </c>
      <c r="D2033" s="3" t="s">
        <v>4186</v>
      </c>
      <c r="E2033" s="3" t="s">
        <v>1784</v>
      </c>
      <c r="F2033" s="2">
        <v>44132</v>
      </c>
      <c r="G2033" s="2">
        <v>44144</v>
      </c>
      <c r="H2033" s="3192" t="s">
        <v>37</v>
      </c>
      <c r="I2033" s="3" t="s">
        <v>3352</v>
      </c>
      <c r="J2033" s="3" t="s">
        <v>156</v>
      </c>
      <c r="K2033" s="3"/>
    </row>
    <row r="2034" spans="1:11" ht="43.2" x14ac:dyDescent="0.3">
      <c r="A2034" s="3" t="s">
        <v>4187</v>
      </c>
      <c r="B2034" s="3" t="str">
        <f>"025202108"</f>
        <v>025202108</v>
      </c>
      <c r="C2034" s="3" t="s">
        <v>961</v>
      </c>
      <c r="D2034" s="3" t="s">
        <v>1027</v>
      </c>
      <c r="E2034" s="3" t="s">
        <v>1314</v>
      </c>
      <c r="F2034" s="2">
        <v>43188</v>
      </c>
      <c r="G2034" s="2"/>
      <c r="H2034" s="3193" t="s">
        <v>17</v>
      </c>
      <c r="I2034" s="3194" t="s">
        <v>18</v>
      </c>
      <c r="J2034" s="3" t="s">
        <v>19</v>
      </c>
      <c r="K2034" s="3"/>
    </row>
    <row r="2035" spans="1:11" ht="43.2" x14ac:dyDescent="0.3">
      <c r="A2035" s="3" t="s">
        <v>4188</v>
      </c>
      <c r="B2035" s="3" t="str">
        <f>"039052042"</f>
        <v>039052042</v>
      </c>
      <c r="C2035" s="3" t="s">
        <v>1804</v>
      </c>
      <c r="D2035" s="3" t="s">
        <v>4189</v>
      </c>
      <c r="E2035" s="3" t="s">
        <v>785</v>
      </c>
      <c r="F2035" s="2">
        <v>43913</v>
      </c>
      <c r="G2035" s="2">
        <v>44255</v>
      </c>
      <c r="H2035" s="3195" t="s">
        <v>17</v>
      </c>
      <c r="I2035" s="3" t="s">
        <v>41</v>
      </c>
      <c r="J2035" s="3" t="s">
        <v>19</v>
      </c>
      <c r="K2035" s="3"/>
    </row>
    <row r="2036" spans="1:11" ht="43.2" x14ac:dyDescent="0.3">
      <c r="A2036" s="3" t="s">
        <v>4190</v>
      </c>
      <c r="B2036" s="3" t="str">
        <f>"038428280"</f>
        <v>038428280</v>
      </c>
      <c r="C2036" s="3" t="s">
        <v>4191</v>
      </c>
      <c r="D2036" s="3" t="s">
        <v>4192</v>
      </c>
      <c r="E2036" s="3" t="s">
        <v>24</v>
      </c>
      <c r="F2036" s="2">
        <v>41317</v>
      </c>
      <c r="G2036" s="2"/>
      <c r="H2036" s="3196" t="s">
        <v>17</v>
      </c>
      <c r="I2036" s="3197" t="s">
        <v>18</v>
      </c>
      <c r="J2036" s="3" t="s">
        <v>19</v>
      </c>
      <c r="K2036" s="3"/>
    </row>
    <row r="2037" spans="1:11" ht="43.2" x14ac:dyDescent="0.3">
      <c r="A2037" s="3" t="s">
        <v>4190</v>
      </c>
      <c r="B2037" s="3" t="str">
        <f>"038428367"</f>
        <v>038428367</v>
      </c>
      <c r="C2037" s="3" t="s">
        <v>4191</v>
      </c>
      <c r="D2037" s="3" t="s">
        <v>4193</v>
      </c>
      <c r="E2037" s="3" t="s">
        <v>24</v>
      </c>
      <c r="F2037" s="2">
        <v>41317</v>
      </c>
      <c r="G2037" s="2"/>
      <c r="H2037" s="3198" t="s">
        <v>17</v>
      </c>
      <c r="I2037" s="3199" t="s">
        <v>18</v>
      </c>
      <c r="J2037" s="3" t="s">
        <v>19</v>
      </c>
      <c r="K2037" s="3"/>
    </row>
    <row r="2038" spans="1:11" ht="43.2" x14ac:dyDescent="0.3">
      <c r="A2038" s="3" t="s">
        <v>4190</v>
      </c>
      <c r="B2038" s="3" t="str">
        <f>"038428429"</f>
        <v>038428429</v>
      </c>
      <c r="C2038" s="3" t="s">
        <v>4191</v>
      </c>
      <c r="D2038" s="3" t="s">
        <v>4194</v>
      </c>
      <c r="E2038" s="3" t="s">
        <v>24</v>
      </c>
      <c r="F2038" s="2">
        <v>41317</v>
      </c>
      <c r="G2038" s="2"/>
      <c r="H2038" s="3200" t="s">
        <v>17</v>
      </c>
      <c r="I2038" s="3201" t="s">
        <v>18</v>
      </c>
      <c r="J2038" s="3" t="s">
        <v>19</v>
      </c>
      <c r="K2038" s="3"/>
    </row>
    <row r="2039" spans="1:11" ht="43.2" x14ac:dyDescent="0.3">
      <c r="A2039" s="3" t="s">
        <v>4190</v>
      </c>
      <c r="B2039" s="3" t="str">
        <f>"038428482"</f>
        <v>038428482</v>
      </c>
      <c r="C2039" s="3" t="s">
        <v>4191</v>
      </c>
      <c r="D2039" s="3" t="s">
        <v>4195</v>
      </c>
      <c r="E2039" s="3" t="s">
        <v>24</v>
      </c>
      <c r="F2039" s="2">
        <v>41317</v>
      </c>
      <c r="G2039" s="2"/>
      <c r="H2039" s="3202" t="s">
        <v>17</v>
      </c>
      <c r="I2039" s="3203" t="s">
        <v>18</v>
      </c>
      <c r="J2039" s="3" t="s">
        <v>19</v>
      </c>
      <c r="K2039" s="3"/>
    </row>
    <row r="2040" spans="1:11" ht="43.2" x14ac:dyDescent="0.3">
      <c r="A2040" s="3" t="s">
        <v>4190</v>
      </c>
      <c r="B2040" s="3" t="str">
        <f>"038428532"</f>
        <v>038428532</v>
      </c>
      <c r="C2040" s="3" t="s">
        <v>4191</v>
      </c>
      <c r="D2040" s="3" t="s">
        <v>4196</v>
      </c>
      <c r="E2040" s="3" t="s">
        <v>24</v>
      </c>
      <c r="F2040" s="2">
        <v>41317</v>
      </c>
      <c r="G2040" s="2"/>
      <c r="H2040" s="3204" t="s">
        <v>17</v>
      </c>
      <c r="I2040" s="3205" t="s">
        <v>18</v>
      </c>
      <c r="J2040" s="3" t="s">
        <v>19</v>
      </c>
      <c r="K2040" s="3"/>
    </row>
    <row r="2041" spans="1:11" ht="43.2" x14ac:dyDescent="0.3">
      <c r="A2041" s="3" t="s">
        <v>4190</v>
      </c>
      <c r="B2041" s="3" t="str">
        <f>"038428734"</f>
        <v>038428734</v>
      </c>
      <c r="C2041" s="3" t="s">
        <v>4191</v>
      </c>
      <c r="D2041" s="3" t="s">
        <v>4197</v>
      </c>
      <c r="E2041" s="3" t="s">
        <v>24</v>
      </c>
      <c r="F2041" s="2">
        <v>44197</v>
      </c>
      <c r="G2041" s="2"/>
      <c r="H2041" s="3206" t="s">
        <v>17</v>
      </c>
      <c r="I2041" s="3207" t="s">
        <v>18</v>
      </c>
      <c r="J2041" s="3" t="s">
        <v>19</v>
      </c>
      <c r="K2041" s="3"/>
    </row>
    <row r="2042" spans="1:11" ht="43.2" x14ac:dyDescent="0.3">
      <c r="A2042" s="3" t="s">
        <v>4190</v>
      </c>
      <c r="B2042" s="3" t="str">
        <f>"041840024"</f>
        <v>041840024</v>
      </c>
      <c r="C2042" s="3" t="s">
        <v>4198</v>
      </c>
      <c r="D2042" s="3" t="s">
        <v>4199</v>
      </c>
      <c r="E2042" s="3" t="s">
        <v>24</v>
      </c>
      <c r="F2042" s="2">
        <v>43862</v>
      </c>
      <c r="G2042" s="2"/>
      <c r="H2042" s="3208" t="s">
        <v>17</v>
      </c>
      <c r="I2042" s="3209" t="s">
        <v>18</v>
      </c>
      <c r="J2042" s="3" t="s">
        <v>19</v>
      </c>
      <c r="K2042" s="3"/>
    </row>
    <row r="2043" spans="1:11" ht="43.2" x14ac:dyDescent="0.3">
      <c r="A2043" s="3" t="s">
        <v>4200</v>
      </c>
      <c r="B2043" s="3" t="str">
        <f>"038427086"</f>
        <v>038427086</v>
      </c>
      <c r="C2043" s="3" t="s">
        <v>4191</v>
      </c>
      <c r="D2043" s="3" t="s">
        <v>4201</v>
      </c>
      <c r="E2043" s="3" t="s">
        <v>56</v>
      </c>
      <c r="F2043" s="2">
        <v>44228</v>
      </c>
      <c r="G2043" s="2">
        <v>44561</v>
      </c>
      <c r="H2043" s="3210" t="s">
        <v>17</v>
      </c>
      <c r="I2043" s="3" t="s">
        <v>41</v>
      </c>
      <c r="J2043" s="3" t="s">
        <v>19</v>
      </c>
      <c r="K2043" s="3"/>
    </row>
    <row r="2044" spans="1:11" ht="43.2" x14ac:dyDescent="0.3">
      <c r="A2044" s="3" t="s">
        <v>4202</v>
      </c>
      <c r="B2044" s="3" t="str">
        <f>"038920043"</f>
        <v>038920043</v>
      </c>
      <c r="C2044" s="3" t="s">
        <v>4203</v>
      </c>
      <c r="D2044" s="3" t="s">
        <v>4204</v>
      </c>
      <c r="E2044" s="3" t="s">
        <v>3211</v>
      </c>
      <c r="F2044" s="2">
        <v>43038</v>
      </c>
      <c r="G2044" s="2"/>
      <c r="H2044" s="3211" t="s">
        <v>17</v>
      </c>
      <c r="I2044" s="3212" t="s">
        <v>18</v>
      </c>
      <c r="J2044" s="3" t="s">
        <v>19</v>
      </c>
      <c r="K2044" s="3"/>
    </row>
    <row r="2045" spans="1:11" ht="43.2" x14ac:dyDescent="0.3">
      <c r="A2045" s="3" t="s">
        <v>4202</v>
      </c>
      <c r="B2045" s="3" t="str">
        <f>"038920068"</f>
        <v>038920068</v>
      </c>
      <c r="C2045" s="3" t="s">
        <v>4203</v>
      </c>
      <c r="D2045" s="3" t="s">
        <v>4205</v>
      </c>
      <c r="E2045" s="3" t="s">
        <v>3211</v>
      </c>
      <c r="F2045" s="2">
        <v>43038</v>
      </c>
      <c r="G2045" s="2"/>
      <c r="H2045" s="3213" t="s">
        <v>37</v>
      </c>
      <c r="I2045" s="3214" t="s">
        <v>18</v>
      </c>
      <c r="J2045" s="3" t="s">
        <v>19</v>
      </c>
      <c r="K2045" s="3"/>
    </row>
    <row r="2046" spans="1:11" ht="43.2" x14ac:dyDescent="0.3">
      <c r="A2046" s="3" t="s">
        <v>4202</v>
      </c>
      <c r="B2046" s="3" t="str">
        <f>"038920082"</f>
        <v>038920082</v>
      </c>
      <c r="C2046" s="3" t="s">
        <v>4203</v>
      </c>
      <c r="D2046" s="3" t="s">
        <v>4206</v>
      </c>
      <c r="E2046" s="3" t="s">
        <v>3211</v>
      </c>
      <c r="F2046" s="2">
        <v>43038</v>
      </c>
      <c r="G2046" s="2"/>
      <c r="H2046" s="3215" t="s">
        <v>17</v>
      </c>
      <c r="I2046" s="3216" t="s">
        <v>18</v>
      </c>
      <c r="J2046" s="3" t="s">
        <v>19</v>
      </c>
      <c r="K2046" s="3"/>
    </row>
    <row r="2047" spans="1:11" ht="43.2" x14ac:dyDescent="0.3">
      <c r="A2047" s="3" t="s">
        <v>4207</v>
      </c>
      <c r="B2047" s="3" t="str">
        <f>"026922031"</f>
        <v>026922031</v>
      </c>
      <c r="C2047" s="3" t="s">
        <v>4208</v>
      </c>
      <c r="D2047" s="3" t="s">
        <v>4209</v>
      </c>
      <c r="E2047" s="3" t="s">
        <v>161</v>
      </c>
      <c r="F2047" s="2">
        <v>43921</v>
      </c>
      <c r="G2047" s="2"/>
      <c r="H2047" s="3217" t="s">
        <v>17</v>
      </c>
      <c r="I2047" s="3218" t="s">
        <v>18</v>
      </c>
      <c r="J2047" s="3" t="s">
        <v>19</v>
      </c>
      <c r="K2047" s="3"/>
    </row>
    <row r="2048" spans="1:11" ht="43.2" x14ac:dyDescent="0.3">
      <c r="A2048" s="3" t="s">
        <v>4210</v>
      </c>
      <c r="B2048" s="3" t="str">
        <f>"044203026"</f>
        <v>044203026</v>
      </c>
      <c r="C2048" s="3"/>
      <c r="D2048" s="3" t="s">
        <v>4211</v>
      </c>
      <c r="E2048" s="3" t="s">
        <v>83</v>
      </c>
      <c r="F2048" s="2">
        <v>43980</v>
      </c>
      <c r="G2048" s="2"/>
      <c r="H2048" s="3219" t="s">
        <v>17</v>
      </c>
      <c r="I2048" s="3" t="s">
        <v>178</v>
      </c>
      <c r="J2048" s="3" t="s">
        <v>19</v>
      </c>
      <c r="K2048" s="3"/>
    </row>
    <row r="2049" spans="1:11" ht="43.2" x14ac:dyDescent="0.3">
      <c r="A2049" s="3" t="s">
        <v>4210</v>
      </c>
      <c r="B2049" s="3" t="str">
        <f>"044203077"</f>
        <v>044203077</v>
      </c>
      <c r="C2049" s="3"/>
      <c r="D2049" s="3" t="s">
        <v>4212</v>
      </c>
      <c r="E2049" s="3" t="s">
        <v>83</v>
      </c>
      <c r="F2049" s="2">
        <v>43994</v>
      </c>
      <c r="G2049" s="2"/>
      <c r="H2049" s="3220" t="s">
        <v>17</v>
      </c>
      <c r="I2049" s="3" t="s">
        <v>178</v>
      </c>
      <c r="J2049" s="3" t="s">
        <v>19</v>
      </c>
      <c r="K2049" s="3"/>
    </row>
    <row r="2050" spans="1:11" ht="43.2" x14ac:dyDescent="0.3">
      <c r="A2050" s="3" t="s">
        <v>4210</v>
      </c>
      <c r="B2050" s="3" t="str">
        <f>"044203091"</f>
        <v>044203091</v>
      </c>
      <c r="C2050" s="3"/>
      <c r="D2050" s="3" t="s">
        <v>3505</v>
      </c>
      <c r="E2050" s="3" t="s">
        <v>83</v>
      </c>
      <c r="F2050" s="2">
        <v>44214</v>
      </c>
      <c r="G2050" s="2"/>
      <c r="H2050" s="3221" t="s">
        <v>17</v>
      </c>
      <c r="I2050" s="3" t="s">
        <v>41</v>
      </c>
      <c r="J2050" s="3" t="s">
        <v>19</v>
      </c>
      <c r="K2050" s="3"/>
    </row>
    <row r="2051" spans="1:11" ht="57.6" x14ac:dyDescent="0.3">
      <c r="A2051" s="3" t="s">
        <v>4213</v>
      </c>
      <c r="B2051" s="3" t="str">
        <f>"037045059"</f>
        <v>037045059</v>
      </c>
      <c r="C2051" s="3" t="s">
        <v>4214</v>
      </c>
      <c r="D2051" s="3" t="s">
        <v>4215</v>
      </c>
      <c r="E2051" s="3" t="s">
        <v>1686</v>
      </c>
      <c r="F2051" s="2">
        <v>44226</v>
      </c>
      <c r="G2051" s="2"/>
      <c r="H2051" s="3222" t="s">
        <v>17</v>
      </c>
      <c r="I2051" s="3223" t="s">
        <v>18</v>
      </c>
      <c r="J2051" s="3" t="s">
        <v>19</v>
      </c>
      <c r="K2051" s="3"/>
    </row>
    <row r="2052" spans="1:11" ht="57.6" x14ac:dyDescent="0.3">
      <c r="A2052" s="3" t="s">
        <v>4216</v>
      </c>
      <c r="B2052" s="3" t="str">
        <f>"046030021"</f>
        <v>046030021</v>
      </c>
      <c r="C2052" s="3"/>
      <c r="D2052" s="3" t="s">
        <v>4217</v>
      </c>
      <c r="E2052" s="3" t="s">
        <v>2138</v>
      </c>
      <c r="F2052" s="2">
        <v>44561</v>
      </c>
      <c r="G2052" s="2"/>
      <c r="H2052" s="3224" t="s">
        <v>17</v>
      </c>
      <c r="I2052" s="3225" t="s">
        <v>18</v>
      </c>
      <c r="J2052" s="3" t="s">
        <v>19</v>
      </c>
      <c r="K2052" s="3"/>
    </row>
    <row r="2053" spans="1:11" ht="57.6" x14ac:dyDescent="0.3">
      <c r="A2053" s="3" t="s">
        <v>4216</v>
      </c>
      <c r="B2053" s="3" t="str">
        <f>"046030060"</f>
        <v>046030060</v>
      </c>
      <c r="C2053" s="3"/>
      <c r="D2053" s="3" t="s">
        <v>4218</v>
      </c>
      <c r="E2053" s="3" t="s">
        <v>2138</v>
      </c>
      <c r="F2053" s="2">
        <v>44561</v>
      </c>
      <c r="G2053" s="2"/>
      <c r="H2053" s="3226" t="s">
        <v>17</v>
      </c>
      <c r="I2053" s="3227" t="s">
        <v>18</v>
      </c>
      <c r="J2053" s="3" t="s">
        <v>19</v>
      </c>
      <c r="K2053" s="3"/>
    </row>
    <row r="2054" spans="1:11" ht="43.2" x14ac:dyDescent="0.3">
      <c r="A2054" s="3" t="s">
        <v>4219</v>
      </c>
      <c r="B2054" s="3" t="str">
        <f>"028809022"</f>
        <v>028809022</v>
      </c>
      <c r="C2054" s="3" t="s">
        <v>2022</v>
      </c>
      <c r="D2054" s="3" t="s">
        <v>4220</v>
      </c>
      <c r="E2054" s="3" t="s">
        <v>659</v>
      </c>
      <c r="F2054" s="2">
        <v>43890</v>
      </c>
      <c r="G2054" s="2"/>
      <c r="H2054" s="3228" t="s">
        <v>17</v>
      </c>
      <c r="I2054" s="3229" t="s">
        <v>18</v>
      </c>
      <c r="J2054" s="3" t="s">
        <v>19</v>
      </c>
      <c r="K2054" s="3"/>
    </row>
    <row r="2055" spans="1:11" ht="72" x14ac:dyDescent="0.3">
      <c r="A2055" s="3" t="s">
        <v>4221</v>
      </c>
      <c r="B2055" s="3" t="str">
        <f>"041272016"</f>
        <v>041272016</v>
      </c>
      <c r="C2055" s="3" t="s">
        <v>4222</v>
      </c>
      <c r="D2055" s="3" t="s">
        <v>4223</v>
      </c>
      <c r="E2055" s="3" t="s">
        <v>4224</v>
      </c>
      <c r="F2055" s="2">
        <v>43222</v>
      </c>
      <c r="G2055" s="2"/>
      <c r="H2055" s="3230" t="s">
        <v>37</v>
      </c>
      <c r="I2055" s="3231" t="s">
        <v>32</v>
      </c>
      <c r="J2055" s="3" t="s">
        <v>240</v>
      </c>
      <c r="K2055" s="3"/>
    </row>
    <row r="2056" spans="1:11" ht="43.2" x14ac:dyDescent="0.3">
      <c r="A2056" s="3" t="s">
        <v>4225</v>
      </c>
      <c r="B2056" s="3" t="str">
        <f>"026727038"</f>
        <v>026727038</v>
      </c>
      <c r="C2056" s="3" t="s">
        <v>4208</v>
      </c>
      <c r="D2056" s="3" t="s">
        <v>4209</v>
      </c>
      <c r="E2056" s="3" t="s">
        <v>161</v>
      </c>
      <c r="F2056" s="2">
        <v>43890</v>
      </c>
      <c r="G2056" s="2"/>
      <c r="H2056" s="3232" t="s">
        <v>17</v>
      </c>
      <c r="I2056" s="3233" t="s">
        <v>18</v>
      </c>
      <c r="J2056" s="3" t="s">
        <v>19</v>
      </c>
      <c r="K2056" s="3"/>
    </row>
    <row r="2057" spans="1:11" ht="57.6" x14ac:dyDescent="0.3">
      <c r="A2057" s="3" t="s">
        <v>4226</v>
      </c>
      <c r="B2057" s="3" t="str">
        <f>"027443011"</f>
        <v>027443011</v>
      </c>
      <c r="C2057" s="3" t="s">
        <v>4227</v>
      </c>
      <c r="D2057" s="3" t="s">
        <v>4228</v>
      </c>
      <c r="E2057" s="3" t="s">
        <v>161</v>
      </c>
      <c r="F2057" s="2">
        <v>44109</v>
      </c>
      <c r="G2057" s="2">
        <v>44165</v>
      </c>
      <c r="H2057" s="3234" t="s">
        <v>17</v>
      </c>
      <c r="I2057" s="3" t="s">
        <v>41</v>
      </c>
      <c r="J2057" s="3" t="s">
        <v>156</v>
      </c>
      <c r="K2057" s="3"/>
    </row>
    <row r="2058" spans="1:11" ht="43.2" x14ac:dyDescent="0.3">
      <c r="A2058" s="3" t="s">
        <v>4229</v>
      </c>
      <c r="B2058" s="3" t="str">
        <f>"026863011"</f>
        <v>026863011</v>
      </c>
      <c r="C2058" s="3" t="s">
        <v>2240</v>
      </c>
      <c r="D2058" s="3" t="s">
        <v>4230</v>
      </c>
      <c r="E2058" s="3" t="s">
        <v>1886</v>
      </c>
      <c r="F2058" s="2">
        <v>42430</v>
      </c>
      <c r="G2058" s="2"/>
      <c r="H2058" s="3235" t="s">
        <v>17</v>
      </c>
      <c r="I2058" s="3236" t="s">
        <v>18</v>
      </c>
      <c r="J2058" s="3" t="s">
        <v>19</v>
      </c>
      <c r="K2058" s="3"/>
    </row>
    <row r="2059" spans="1:11" ht="57.6" x14ac:dyDescent="0.3">
      <c r="A2059" s="3" t="s">
        <v>4231</v>
      </c>
      <c r="B2059" s="3" t="str">
        <f>"012048043"</f>
        <v>012048043</v>
      </c>
      <c r="C2059" s="3" t="s">
        <v>4232</v>
      </c>
      <c r="D2059" s="3" t="s">
        <v>4233</v>
      </c>
      <c r="E2059" s="3" t="s">
        <v>412</v>
      </c>
      <c r="F2059" s="2">
        <v>43995</v>
      </c>
      <c r="G2059" s="2">
        <v>44165</v>
      </c>
      <c r="H2059" s="3237" t="s">
        <v>37</v>
      </c>
      <c r="I2059" s="3" t="s">
        <v>41</v>
      </c>
      <c r="J2059" s="3" t="s">
        <v>156</v>
      </c>
      <c r="K2059" s="3"/>
    </row>
    <row r="2060" spans="1:11" ht="43.2" x14ac:dyDescent="0.3">
      <c r="A2060" s="3" t="s">
        <v>4234</v>
      </c>
      <c r="B2060" s="3" t="str">
        <f>"022511190"</f>
        <v>022511190</v>
      </c>
      <c r="C2060" s="3" t="s">
        <v>4235</v>
      </c>
      <c r="D2060" s="3" t="s">
        <v>4236</v>
      </c>
      <c r="E2060" s="3" t="s">
        <v>4237</v>
      </c>
      <c r="F2060" s="2">
        <v>43951</v>
      </c>
      <c r="G2060" s="2">
        <v>44561</v>
      </c>
      <c r="H2060" s="3238" t="s">
        <v>37</v>
      </c>
      <c r="I2060" s="3" t="s">
        <v>41</v>
      </c>
      <c r="J2060" s="3" t="s">
        <v>19</v>
      </c>
      <c r="K2060" s="3"/>
    </row>
    <row r="2061" spans="1:11" ht="43.2" x14ac:dyDescent="0.3">
      <c r="A2061" s="3" t="s">
        <v>4234</v>
      </c>
      <c r="B2061" s="3" t="str">
        <f>"022511202"</f>
        <v>022511202</v>
      </c>
      <c r="C2061" s="3" t="s">
        <v>4235</v>
      </c>
      <c r="D2061" s="3" t="s">
        <v>4238</v>
      </c>
      <c r="E2061" s="3" t="s">
        <v>4237</v>
      </c>
      <c r="F2061" s="2">
        <v>43861</v>
      </c>
      <c r="G2061" s="2">
        <v>44561</v>
      </c>
      <c r="H2061" s="3239" t="s">
        <v>37</v>
      </c>
      <c r="I2061" s="3" t="s">
        <v>41</v>
      </c>
      <c r="J2061" s="3" t="s">
        <v>19</v>
      </c>
      <c r="K2061" s="3"/>
    </row>
    <row r="2062" spans="1:11" ht="43.2" x14ac:dyDescent="0.3">
      <c r="A2062" s="3" t="s">
        <v>4239</v>
      </c>
      <c r="B2062" s="3" t="str">
        <f>"027661014"</f>
        <v>027661014</v>
      </c>
      <c r="C2062" s="3" t="s">
        <v>1351</v>
      </c>
      <c r="D2062" s="3" t="s">
        <v>4240</v>
      </c>
      <c r="E2062" s="3" t="s">
        <v>3146</v>
      </c>
      <c r="F2062" s="2">
        <v>44024</v>
      </c>
      <c r="G2062" s="2"/>
      <c r="H2062" s="3240" t="s">
        <v>17</v>
      </c>
      <c r="I2062" s="3241" t="s">
        <v>18</v>
      </c>
      <c r="J2062" s="3" t="s">
        <v>19</v>
      </c>
      <c r="K2062" s="3"/>
    </row>
    <row r="2063" spans="1:11" ht="43.2" x14ac:dyDescent="0.3">
      <c r="A2063" s="3" t="s">
        <v>4239</v>
      </c>
      <c r="B2063" s="3" t="str">
        <f>"027661026"</f>
        <v>027661026</v>
      </c>
      <c r="C2063" s="3" t="s">
        <v>1351</v>
      </c>
      <c r="D2063" s="3" t="s">
        <v>4241</v>
      </c>
      <c r="E2063" s="3" t="s">
        <v>3146</v>
      </c>
      <c r="F2063" s="2">
        <v>43531</v>
      </c>
      <c r="G2063" s="2"/>
      <c r="H2063" s="3242" t="s">
        <v>17</v>
      </c>
      <c r="I2063" s="3243" t="s">
        <v>18</v>
      </c>
      <c r="J2063" s="3" t="s">
        <v>19</v>
      </c>
      <c r="K2063" s="3"/>
    </row>
    <row r="2064" spans="1:11" ht="43.2" x14ac:dyDescent="0.3">
      <c r="A2064" s="3" t="s">
        <v>4242</v>
      </c>
      <c r="B2064" s="3" t="str">
        <f>"037938014"</f>
        <v>037938014</v>
      </c>
      <c r="C2064" s="3" t="s">
        <v>1138</v>
      </c>
      <c r="D2064" s="3" t="s">
        <v>1139</v>
      </c>
      <c r="E2064" s="3" t="s">
        <v>3863</v>
      </c>
      <c r="F2064" s="2">
        <v>43921</v>
      </c>
      <c r="G2064" s="2"/>
      <c r="H2064" s="3244" t="s">
        <v>17</v>
      </c>
      <c r="I2064" s="3245" t="s">
        <v>18</v>
      </c>
      <c r="J2064" s="3" t="s">
        <v>19</v>
      </c>
      <c r="K2064" s="3"/>
    </row>
    <row r="2065" spans="1:11" ht="72" x14ac:dyDescent="0.3">
      <c r="A2065" s="3" t="s">
        <v>4243</v>
      </c>
      <c r="B2065" s="3" t="str">
        <f>"042924011"</f>
        <v>042924011</v>
      </c>
      <c r="C2065" s="3" t="s">
        <v>4244</v>
      </c>
      <c r="D2065" s="3" t="s">
        <v>4245</v>
      </c>
      <c r="E2065" s="3" t="s">
        <v>36</v>
      </c>
      <c r="F2065" s="2">
        <v>44089</v>
      </c>
      <c r="G2065" s="2">
        <v>44196</v>
      </c>
      <c r="H2065" s="3246" t="s">
        <v>37</v>
      </c>
      <c r="I2065" s="3" t="s">
        <v>2499</v>
      </c>
      <c r="J2065" s="3" t="s">
        <v>19</v>
      </c>
      <c r="K2065" s="3"/>
    </row>
    <row r="2066" spans="1:11" ht="57.6" x14ac:dyDescent="0.3">
      <c r="A2066" s="3" t="s">
        <v>4246</v>
      </c>
      <c r="B2066" s="3" t="str">
        <f>"025306010"</f>
        <v>025306010</v>
      </c>
      <c r="C2066" s="3" t="s">
        <v>1161</v>
      </c>
      <c r="D2066" s="3" t="s">
        <v>4247</v>
      </c>
      <c r="E2066" s="3" t="s">
        <v>1416</v>
      </c>
      <c r="F2066" s="2">
        <v>44104</v>
      </c>
      <c r="G2066" s="2">
        <v>44196</v>
      </c>
      <c r="H2066" s="3247" t="s">
        <v>37</v>
      </c>
      <c r="I2066" s="3" t="s">
        <v>2499</v>
      </c>
      <c r="J2066" s="3" t="s">
        <v>156</v>
      </c>
      <c r="K2066" s="3"/>
    </row>
    <row r="2067" spans="1:11" ht="43.2" x14ac:dyDescent="0.3">
      <c r="A2067" s="3" t="s">
        <v>4248</v>
      </c>
      <c r="B2067" s="3" t="str">
        <f>"022437014"</f>
        <v>022437014</v>
      </c>
      <c r="C2067" s="3" t="s">
        <v>4249</v>
      </c>
      <c r="D2067" s="3" t="s">
        <v>4250</v>
      </c>
      <c r="E2067" s="3" t="s">
        <v>452</v>
      </c>
      <c r="F2067" s="2">
        <v>43159</v>
      </c>
      <c r="G2067" s="2"/>
      <c r="H2067" s="3248" t="s">
        <v>37</v>
      </c>
      <c r="I2067" s="3249" t="s">
        <v>32</v>
      </c>
      <c r="J2067" s="3" t="s">
        <v>240</v>
      </c>
      <c r="K2067" s="3"/>
    </row>
    <row r="2068" spans="1:11" ht="57.6" x14ac:dyDescent="0.3">
      <c r="A2068" s="3" t="s">
        <v>4251</v>
      </c>
      <c r="B2068" s="3" t="str">
        <f>"027083043"</f>
        <v>027083043</v>
      </c>
      <c r="C2068" s="3" t="s">
        <v>2891</v>
      </c>
      <c r="D2068" s="3" t="s">
        <v>4252</v>
      </c>
      <c r="E2068" s="3" t="s">
        <v>1416</v>
      </c>
      <c r="F2068" s="2">
        <v>42836</v>
      </c>
      <c r="G2068" s="2"/>
      <c r="H2068" s="3250" t="s">
        <v>17</v>
      </c>
      <c r="I2068" s="3251" t="s">
        <v>18</v>
      </c>
      <c r="J2068" s="3" t="s">
        <v>19</v>
      </c>
      <c r="K2068" s="3"/>
    </row>
    <row r="2069" spans="1:11" ht="57.6" x14ac:dyDescent="0.3">
      <c r="A2069" s="3" t="s">
        <v>4253</v>
      </c>
      <c r="B2069" s="3" t="str">
        <f>"027683046"</f>
        <v>027683046</v>
      </c>
      <c r="C2069" s="3" t="s">
        <v>1205</v>
      </c>
      <c r="D2069" s="3" t="s">
        <v>4254</v>
      </c>
      <c r="E2069" s="3" t="s">
        <v>4255</v>
      </c>
      <c r="F2069" s="2">
        <v>44104</v>
      </c>
      <c r="G2069" s="2"/>
      <c r="H2069" s="3252" t="s">
        <v>37</v>
      </c>
      <c r="I2069" s="3253" t="s">
        <v>32</v>
      </c>
      <c r="J2069" s="3" t="s">
        <v>156</v>
      </c>
      <c r="K2069" s="3"/>
    </row>
    <row r="2070" spans="1:11" ht="43.2" x14ac:dyDescent="0.3">
      <c r="A2070" s="3" t="s">
        <v>4256</v>
      </c>
      <c r="B2070" s="3" t="str">
        <f>"025038098"</f>
        <v>025038098</v>
      </c>
      <c r="C2070" s="3" t="s">
        <v>3014</v>
      </c>
      <c r="D2070" s="3" t="s">
        <v>4257</v>
      </c>
      <c r="E2070" s="3" t="s">
        <v>151</v>
      </c>
      <c r="F2070" s="2">
        <v>43769</v>
      </c>
      <c r="G2070" s="2"/>
      <c r="H2070" s="3254" t="s">
        <v>17</v>
      </c>
      <c r="I2070" s="3255" t="s">
        <v>18</v>
      </c>
      <c r="J2070" s="3" t="s">
        <v>19</v>
      </c>
      <c r="K2070" s="3"/>
    </row>
    <row r="2071" spans="1:11" ht="43.2" x14ac:dyDescent="0.3">
      <c r="A2071" s="3" t="s">
        <v>4256</v>
      </c>
      <c r="B2071" s="3" t="str">
        <f>"025038163"</f>
        <v>025038163</v>
      </c>
      <c r="C2071" s="3" t="s">
        <v>3014</v>
      </c>
      <c r="D2071" s="3" t="s">
        <v>4258</v>
      </c>
      <c r="E2071" s="3" t="s">
        <v>151</v>
      </c>
      <c r="F2071" s="2">
        <v>43951</v>
      </c>
      <c r="G2071" s="2"/>
      <c r="H2071" s="3256" t="s">
        <v>17</v>
      </c>
      <c r="I2071" s="3257" t="s">
        <v>18</v>
      </c>
      <c r="J2071" s="3" t="s">
        <v>19</v>
      </c>
      <c r="K2071" s="3"/>
    </row>
    <row r="2072" spans="1:11" ht="43.2" x14ac:dyDescent="0.3">
      <c r="A2072" s="3" t="s">
        <v>4259</v>
      </c>
      <c r="B2072" s="3" t="str">
        <f>"037884018"</f>
        <v>037884018</v>
      </c>
      <c r="C2072" s="3" t="s">
        <v>4260</v>
      </c>
      <c r="D2072" s="3" t="s">
        <v>4261</v>
      </c>
      <c r="E2072" s="3" t="s">
        <v>1658</v>
      </c>
      <c r="F2072" s="2">
        <v>44165</v>
      </c>
      <c r="G2072" s="2"/>
      <c r="H2072" s="3258" t="s">
        <v>37</v>
      </c>
      <c r="I2072" s="3259" t="s">
        <v>18</v>
      </c>
      <c r="J2072" s="3" t="s">
        <v>19</v>
      </c>
      <c r="K2072" s="3"/>
    </row>
    <row r="2073" spans="1:11" ht="43.2" x14ac:dyDescent="0.3">
      <c r="A2073" s="3" t="s">
        <v>4262</v>
      </c>
      <c r="B2073" s="3" t="str">
        <f>"025025127"</f>
        <v>025025127</v>
      </c>
      <c r="C2073" s="3" t="s">
        <v>2059</v>
      </c>
      <c r="D2073" s="3" t="s">
        <v>4263</v>
      </c>
      <c r="E2073" s="3" t="s">
        <v>371</v>
      </c>
      <c r="F2073" s="2">
        <v>43489</v>
      </c>
      <c r="G2073" s="2"/>
      <c r="H2073" s="3260" t="s">
        <v>17</v>
      </c>
      <c r="I2073" s="3261" t="s">
        <v>18</v>
      </c>
      <c r="J2073" s="3" t="s">
        <v>19</v>
      </c>
      <c r="K2073" s="3"/>
    </row>
    <row r="2074" spans="1:11" ht="43.2" x14ac:dyDescent="0.3">
      <c r="A2074" s="3" t="s">
        <v>4264</v>
      </c>
      <c r="B2074" s="3" t="str">
        <f>"027436031"</f>
        <v>027436031</v>
      </c>
      <c r="C2074" s="3" t="s">
        <v>4265</v>
      </c>
      <c r="D2074" s="3" t="s">
        <v>4266</v>
      </c>
      <c r="E2074" s="3" t="s">
        <v>1287</v>
      </c>
      <c r="F2074" s="2">
        <v>43939</v>
      </c>
      <c r="G2074" s="2"/>
      <c r="H2074" s="3262" t="s">
        <v>17</v>
      </c>
      <c r="I2074" s="3263" t="s">
        <v>18</v>
      </c>
      <c r="J2074" s="3" t="s">
        <v>19</v>
      </c>
      <c r="K2074" s="3"/>
    </row>
    <row r="2075" spans="1:11" ht="43.2" x14ac:dyDescent="0.3">
      <c r="A2075" s="3" t="s">
        <v>4267</v>
      </c>
      <c r="B2075" s="3" t="str">
        <f>"027297011"</f>
        <v>027297011</v>
      </c>
      <c r="C2075" s="3" t="s">
        <v>3817</v>
      </c>
      <c r="D2075" s="3" t="s">
        <v>4268</v>
      </c>
      <c r="E2075" s="3" t="s">
        <v>2625</v>
      </c>
      <c r="F2075" s="2">
        <v>43830</v>
      </c>
      <c r="G2075" s="2"/>
      <c r="H2075" s="3264" t="s">
        <v>17</v>
      </c>
      <c r="I2075" s="3265" t="s">
        <v>18</v>
      </c>
      <c r="J2075" s="3" t="s">
        <v>19</v>
      </c>
      <c r="K2075" s="3"/>
    </row>
    <row r="2076" spans="1:11" ht="43.2" x14ac:dyDescent="0.3">
      <c r="A2076" s="3" t="s">
        <v>4267</v>
      </c>
      <c r="B2076" s="3" t="str">
        <f>"027297035"</f>
        <v>027297035</v>
      </c>
      <c r="C2076" s="3" t="s">
        <v>3817</v>
      </c>
      <c r="D2076" s="3" t="s">
        <v>4269</v>
      </c>
      <c r="E2076" s="3" t="s">
        <v>2625</v>
      </c>
      <c r="F2076" s="2">
        <v>43830</v>
      </c>
      <c r="G2076" s="2"/>
      <c r="H2076" s="3266" t="s">
        <v>17</v>
      </c>
      <c r="I2076" s="3267" t="s">
        <v>18</v>
      </c>
      <c r="J2076" s="3" t="s">
        <v>19</v>
      </c>
      <c r="K2076" s="3"/>
    </row>
    <row r="2077" spans="1:11" ht="43.2" x14ac:dyDescent="0.3">
      <c r="A2077" s="3" t="s">
        <v>4270</v>
      </c>
      <c r="B2077" s="3" t="str">
        <f>"037309147"</f>
        <v>037309147</v>
      </c>
      <c r="C2077" s="3" t="s">
        <v>4271</v>
      </c>
      <c r="D2077" s="3" t="s">
        <v>4272</v>
      </c>
      <c r="E2077" s="3" t="s">
        <v>4273</v>
      </c>
      <c r="F2077" s="2">
        <v>40960</v>
      </c>
      <c r="G2077" s="2"/>
      <c r="H2077" s="3268" t="s">
        <v>37</v>
      </c>
      <c r="I2077" s="3269" t="s">
        <v>32</v>
      </c>
      <c r="J2077" s="3" t="s">
        <v>19</v>
      </c>
      <c r="K2077" s="3"/>
    </row>
    <row r="2078" spans="1:11" ht="43.2" x14ac:dyDescent="0.3">
      <c r="A2078" s="3" t="s">
        <v>4270</v>
      </c>
      <c r="B2078" s="3" t="str">
        <f>"037309022"</f>
        <v>037309022</v>
      </c>
      <c r="C2078" s="3" t="s">
        <v>4271</v>
      </c>
      <c r="D2078" s="3" t="s">
        <v>4274</v>
      </c>
      <c r="E2078" s="3" t="s">
        <v>4273</v>
      </c>
      <c r="F2078" s="2">
        <v>40960</v>
      </c>
      <c r="G2078" s="2"/>
      <c r="H2078" s="3270" t="s">
        <v>37</v>
      </c>
      <c r="I2078" s="3271" t="s">
        <v>32</v>
      </c>
      <c r="J2078" s="3" t="s">
        <v>19</v>
      </c>
      <c r="K2078" s="3"/>
    </row>
    <row r="2079" spans="1:11" ht="43.2" x14ac:dyDescent="0.3">
      <c r="A2079" s="3" t="s">
        <v>4270</v>
      </c>
      <c r="B2079" s="3" t="str">
        <f>"037309111"</f>
        <v>037309111</v>
      </c>
      <c r="C2079" s="3" t="s">
        <v>4271</v>
      </c>
      <c r="D2079" s="3" t="s">
        <v>4275</v>
      </c>
      <c r="E2079" s="3" t="s">
        <v>4273</v>
      </c>
      <c r="F2079" s="2">
        <v>40960</v>
      </c>
      <c r="G2079" s="2"/>
      <c r="H2079" s="3272" t="s">
        <v>37</v>
      </c>
      <c r="I2079" s="3273" t="s">
        <v>32</v>
      </c>
      <c r="J2079" s="3" t="s">
        <v>19</v>
      </c>
      <c r="K2079" s="3"/>
    </row>
    <row r="2080" spans="1:11" ht="57.6" x14ac:dyDescent="0.3">
      <c r="A2080" s="3" t="s">
        <v>4276</v>
      </c>
      <c r="B2080" s="3" t="str">
        <f>"043868025"</f>
        <v>043868025</v>
      </c>
      <c r="C2080" s="3" t="s">
        <v>4277</v>
      </c>
      <c r="D2080" s="3" t="s">
        <v>4278</v>
      </c>
      <c r="E2080" s="3" t="s">
        <v>4279</v>
      </c>
      <c r="F2080" s="2">
        <v>43616</v>
      </c>
      <c r="G2080" s="2">
        <v>43987</v>
      </c>
      <c r="H2080" s="3274" t="s">
        <v>37</v>
      </c>
      <c r="I2080" s="3" t="s">
        <v>38</v>
      </c>
      <c r="J2080" s="3" t="s">
        <v>156</v>
      </c>
      <c r="K2080" s="3" t="s">
        <v>154</v>
      </c>
    </row>
    <row r="2081" spans="1:11" ht="57.6" x14ac:dyDescent="0.3">
      <c r="A2081" s="3" t="s">
        <v>4280</v>
      </c>
      <c r="B2081" s="3" t="str">
        <f>"016805018"</f>
        <v>016805018</v>
      </c>
      <c r="C2081" s="3" t="s">
        <v>4281</v>
      </c>
      <c r="D2081" s="3" t="s">
        <v>4282</v>
      </c>
      <c r="E2081" s="3" t="s">
        <v>303</v>
      </c>
      <c r="F2081" s="2">
        <v>43799</v>
      </c>
      <c r="G2081" s="2"/>
      <c r="H2081" s="3275" t="s">
        <v>37</v>
      </c>
      <c r="I2081" s="3276" t="s">
        <v>18</v>
      </c>
      <c r="J2081" s="3" t="s">
        <v>156</v>
      </c>
      <c r="K2081" s="3"/>
    </row>
    <row r="2082" spans="1:11" ht="57.6" x14ac:dyDescent="0.3">
      <c r="A2082" s="3" t="s">
        <v>4280</v>
      </c>
      <c r="B2082" s="3" t="str">
        <f>"016805020"</f>
        <v>016805020</v>
      </c>
      <c r="C2082" s="3" t="s">
        <v>4281</v>
      </c>
      <c r="D2082" s="3" t="s">
        <v>4283</v>
      </c>
      <c r="E2082" s="3" t="s">
        <v>303</v>
      </c>
      <c r="F2082" s="2">
        <v>44002</v>
      </c>
      <c r="G2082" s="2"/>
      <c r="H2082" s="3277" t="s">
        <v>37</v>
      </c>
      <c r="I2082" s="3278" t="s">
        <v>18</v>
      </c>
      <c r="J2082" s="3" t="s">
        <v>156</v>
      </c>
      <c r="K2082" s="3"/>
    </row>
    <row r="2083" spans="1:11" ht="43.2" x14ac:dyDescent="0.3">
      <c r="A2083" s="3" t="s">
        <v>4280</v>
      </c>
      <c r="B2083" s="3" t="str">
        <f>"016805057"</f>
        <v>016805057</v>
      </c>
      <c r="C2083" s="3" t="s">
        <v>4281</v>
      </c>
      <c r="D2083" s="3" t="s">
        <v>4284</v>
      </c>
      <c r="E2083" s="3" t="s">
        <v>303</v>
      </c>
      <c r="F2083" s="2">
        <v>43025</v>
      </c>
      <c r="G2083" s="2"/>
      <c r="H2083" s="3279" t="s">
        <v>37</v>
      </c>
      <c r="I2083" s="3280" t="s">
        <v>18</v>
      </c>
      <c r="J2083" s="3" t="s">
        <v>19</v>
      </c>
      <c r="K2083" s="3"/>
    </row>
    <row r="2084" spans="1:11" ht="43.2" x14ac:dyDescent="0.3">
      <c r="A2084" s="3" t="s">
        <v>4285</v>
      </c>
      <c r="B2084" s="3" t="str">
        <f>"028759052"</f>
        <v>028759052</v>
      </c>
      <c r="C2084" s="3" t="s">
        <v>1193</v>
      </c>
      <c r="D2084" s="3" t="s">
        <v>4286</v>
      </c>
      <c r="E2084" s="3" t="s">
        <v>1251</v>
      </c>
      <c r="F2084" s="2">
        <v>42005</v>
      </c>
      <c r="G2084" s="2"/>
      <c r="H2084" s="3281" t="s">
        <v>17</v>
      </c>
      <c r="I2084" s="3282" t="s">
        <v>32</v>
      </c>
      <c r="J2084" s="3" t="s">
        <v>19</v>
      </c>
      <c r="K2084" s="3"/>
    </row>
    <row r="2085" spans="1:11" ht="43.2" x14ac:dyDescent="0.3">
      <c r="A2085" s="3" t="s">
        <v>4287</v>
      </c>
      <c r="B2085" s="3" t="str">
        <f>"020835043"</f>
        <v>020835043</v>
      </c>
      <c r="C2085" s="3" t="s">
        <v>4288</v>
      </c>
      <c r="D2085" s="3" t="s">
        <v>4289</v>
      </c>
      <c r="E2085" s="3" t="s">
        <v>270</v>
      </c>
      <c r="F2085" s="2">
        <v>44119</v>
      </c>
      <c r="G2085" s="2">
        <v>44561</v>
      </c>
      <c r="H2085" s="3283" t="s">
        <v>37</v>
      </c>
      <c r="I2085" s="3" t="s">
        <v>41</v>
      </c>
      <c r="J2085" s="3" t="s">
        <v>19</v>
      </c>
      <c r="K2085" s="3"/>
    </row>
    <row r="2086" spans="1:11" ht="43.2" x14ac:dyDescent="0.3">
      <c r="A2086" s="3" t="s">
        <v>4290</v>
      </c>
      <c r="B2086" s="3" t="str">
        <f>"034425049"</f>
        <v>034425049</v>
      </c>
      <c r="C2086" s="3" t="s">
        <v>3396</v>
      </c>
      <c r="D2086" s="3" t="s">
        <v>4291</v>
      </c>
      <c r="E2086" s="3" t="s">
        <v>4292</v>
      </c>
      <c r="F2086" s="2">
        <v>44228</v>
      </c>
      <c r="G2086" s="2"/>
      <c r="H2086" s="3284" t="s">
        <v>17</v>
      </c>
      <c r="I2086" s="3285" t="s">
        <v>32</v>
      </c>
      <c r="J2086" s="3" t="s">
        <v>19</v>
      </c>
      <c r="K2086" s="3"/>
    </row>
    <row r="2087" spans="1:11" ht="43.2" x14ac:dyDescent="0.3">
      <c r="A2087" s="3" t="s">
        <v>4290</v>
      </c>
      <c r="B2087" s="3" t="str">
        <f>"034425052"</f>
        <v>034425052</v>
      </c>
      <c r="C2087" s="3" t="s">
        <v>3396</v>
      </c>
      <c r="D2087" s="3" t="s">
        <v>4293</v>
      </c>
      <c r="E2087" s="3" t="s">
        <v>4292</v>
      </c>
      <c r="F2087" s="2">
        <v>44228</v>
      </c>
      <c r="G2087" s="2"/>
      <c r="H2087" s="3286" t="s">
        <v>17</v>
      </c>
      <c r="I2087" s="3287" t="s">
        <v>32</v>
      </c>
      <c r="J2087" s="3" t="s">
        <v>19</v>
      </c>
      <c r="K2087" s="3"/>
    </row>
    <row r="2088" spans="1:11" ht="43.2" x14ac:dyDescent="0.3">
      <c r="A2088" s="3" t="s">
        <v>4294</v>
      </c>
      <c r="B2088" s="3" t="str">
        <f>"036600031"</f>
        <v>036600031</v>
      </c>
      <c r="C2088" s="3" t="s">
        <v>4295</v>
      </c>
      <c r="D2088" s="3" t="s">
        <v>4296</v>
      </c>
      <c r="E2088" s="3" t="s">
        <v>64</v>
      </c>
      <c r="F2088" s="2">
        <v>44105</v>
      </c>
      <c r="G2088" s="2"/>
      <c r="H2088" s="3288" t="s">
        <v>17</v>
      </c>
      <c r="I2088" s="3" t="s">
        <v>41</v>
      </c>
      <c r="J2088" s="3" t="s">
        <v>19</v>
      </c>
      <c r="K2088" s="3"/>
    </row>
    <row r="2089" spans="1:11" ht="43.2" x14ac:dyDescent="0.3">
      <c r="A2089" s="3" t="s">
        <v>4294</v>
      </c>
      <c r="B2089" s="3" t="str">
        <f>"036600094"</f>
        <v>036600094</v>
      </c>
      <c r="C2089" s="3" t="s">
        <v>4295</v>
      </c>
      <c r="D2089" s="3" t="s">
        <v>4297</v>
      </c>
      <c r="E2089" s="3" t="s">
        <v>64</v>
      </c>
      <c r="F2089" s="2">
        <v>44044</v>
      </c>
      <c r="G2089" s="2"/>
      <c r="H2089" s="3289" t="s">
        <v>17</v>
      </c>
      <c r="I2089" s="3" t="s">
        <v>41</v>
      </c>
      <c r="J2089" s="3" t="s">
        <v>19</v>
      </c>
      <c r="K2089" s="3"/>
    </row>
    <row r="2090" spans="1:11" ht="57.6" x14ac:dyDescent="0.3">
      <c r="A2090" s="3" t="s">
        <v>4298</v>
      </c>
      <c r="B2090" s="3" t="str">
        <f>"038983021"</f>
        <v>038983021</v>
      </c>
      <c r="C2090" s="3" t="s">
        <v>4299</v>
      </c>
      <c r="D2090" s="3" t="s">
        <v>4300</v>
      </c>
      <c r="E2090" s="3" t="s">
        <v>4301</v>
      </c>
      <c r="F2090" s="2">
        <v>43871</v>
      </c>
      <c r="G2090" s="2">
        <v>43951</v>
      </c>
      <c r="H2090" s="3290" t="s">
        <v>17</v>
      </c>
      <c r="I2090" s="3" t="s">
        <v>41</v>
      </c>
      <c r="J2090" s="3" t="s">
        <v>19</v>
      </c>
      <c r="K2090" s="3"/>
    </row>
    <row r="2091" spans="1:11" ht="57.6" x14ac:dyDescent="0.3">
      <c r="A2091" s="3" t="s">
        <v>4298</v>
      </c>
      <c r="B2091" s="3" t="str">
        <f>"038983161"</f>
        <v>038983161</v>
      </c>
      <c r="C2091" s="3" t="s">
        <v>4299</v>
      </c>
      <c r="D2091" s="3" t="s">
        <v>4302</v>
      </c>
      <c r="E2091" s="3" t="s">
        <v>4301</v>
      </c>
      <c r="F2091" s="2">
        <v>43871</v>
      </c>
      <c r="G2091" s="2">
        <v>43951</v>
      </c>
      <c r="H2091" s="3291" t="s">
        <v>17</v>
      </c>
      <c r="I2091" s="3" t="s">
        <v>41</v>
      </c>
      <c r="J2091" s="3" t="s">
        <v>19</v>
      </c>
      <c r="K2091" s="3"/>
    </row>
    <row r="2092" spans="1:11" ht="57.6" x14ac:dyDescent="0.3">
      <c r="A2092" s="3" t="s">
        <v>4298</v>
      </c>
      <c r="B2092" s="3" t="str">
        <f>"038983247"</f>
        <v>038983247</v>
      </c>
      <c r="C2092" s="3" t="s">
        <v>4299</v>
      </c>
      <c r="D2092" s="3" t="s">
        <v>4303</v>
      </c>
      <c r="E2092" s="3" t="s">
        <v>4301</v>
      </c>
      <c r="F2092" s="2">
        <v>44013</v>
      </c>
      <c r="G2092" s="2"/>
      <c r="H2092" s="3292" t="s">
        <v>17</v>
      </c>
      <c r="I2092" s="3" t="s">
        <v>178</v>
      </c>
      <c r="J2092" s="3" t="s">
        <v>19</v>
      </c>
      <c r="K2092" s="3"/>
    </row>
    <row r="2093" spans="1:11" ht="57.6" x14ac:dyDescent="0.3">
      <c r="A2093" s="3" t="s">
        <v>4304</v>
      </c>
      <c r="B2093" s="3" t="str">
        <f>"041661024"</f>
        <v>041661024</v>
      </c>
      <c r="C2093" s="3" t="s">
        <v>4305</v>
      </c>
      <c r="D2093" s="3" t="s">
        <v>4306</v>
      </c>
      <c r="E2093" s="3" t="s">
        <v>4301</v>
      </c>
      <c r="F2093" s="2">
        <v>43595</v>
      </c>
      <c r="G2093" s="2"/>
      <c r="H2093" s="3293" t="s">
        <v>37</v>
      </c>
      <c r="I2093" s="3" t="s">
        <v>41</v>
      </c>
      <c r="J2093" s="3" t="s">
        <v>19</v>
      </c>
      <c r="K2093" s="3"/>
    </row>
    <row r="2094" spans="1:11" ht="43.2" x14ac:dyDescent="0.3">
      <c r="A2094" s="3" t="s">
        <v>4307</v>
      </c>
      <c r="B2094" s="3" t="str">
        <f>"029165053"</f>
        <v>029165053</v>
      </c>
      <c r="C2094" s="3" t="s">
        <v>318</v>
      </c>
      <c r="D2094" s="3" t="s">
        <v>4308</v>
      </c>
      <c r="E2094" s="3" t="s">
        <v>239</v>
      </c>
      <c r="F2094" s="2">
        <v>44073</v>
      </c>
      <c r="G2094" s="2"/>
      <c r="H2094" s="3294" t="s">
        <v>17</v>
      </c>
      <c r="I2094" s="3295" t="s">
        <v>32</v>
      </c>
      <c r="J2094" s="3" t="s">
        <v>19</v>
      </c>
      <c r="K2094" s="3"/>
    </row>
    <row r="2095" spans="1:11" ht="57.6" x14ac:dyDescent="0.3">
      <c r="A2095" s="3" t="s">
        <v>4309</v>
      </c>
      <c r="B2095" s="3" t="str">
        <f>"033120054"</f>
        <v>033120054</v>
      </c>
      <c r="C2095" s="3" t="s">
        <v>4310</v>
      </c>
      <c r="D2095" s="3" t="s">
        <v>4311</v>
      </c>
      <c r="E2095" s="3" t="s">
        <v>407</v>
      </c>
      <c r="F2095" s="2">
        <v>41173</v>
      </c>
      <c r="G2095" s="2"/>
      <c r="H2095" s="3296" t="s">
        <v>37</v>
      </c>
      <c r="I2095" s="3297" t="s">
        <v>32</v>
      </c>
      <c r="J2095" s="3" t="s">
        <v>19</v>
      </c>
      <c r="K2095" s="3"/>
    </row>
    <row r="2096" spans="1:11" ht="57.6" x14ac:dyDescent="0.3">
      <c r="A2096" s="3" t="s">
        <v>4309</v>
      </c>
      <c r="B2096" s="3" t="str">
        <f>"033120092"</f>
        <v>033120092</v>
      </c>
      <c r="C2096" s="3" t="s">
        <v>4310</v>
      </c>
      <c r="D2096" s="3" t="s">
        <v>4312</v>
      </c>
      <c r="E2096" s="3" t="s">
        <v>407</v>
      </c>
      <c r="F2096" s="2">
        <v>43799</v>
      </c>
      <c r="G2096" s="2"/>
      <c r="H2096" s="3298" t="s">
        <v>37</v>
      </c>
      <c r="I2096" s="3" t="s">
        <v>2499</v>
      </c>
      <c r="J2096" s="3" t="s">
        <v>156</v>
      </c>
      <c r="K2096" s="3"/>
    </row>
    <row r="2097" spans="1:11" ht="43.2" x14ac:dyDescent="0.3">
      <c r="A2097" s="3" t="s">
        <v>4313</v>
      </c>
      <c r="B2097" s="3" t="str">
        <f>"042078030"</f>
        <v>042078030</v>
      </c>
      <c r="C2097" s="3" t="s">
        <v>2342</v>
      </c>
      <c r="D2097" s="3" t="s">
        <v>4314</v>
      </c>
      <c r="E2097" s="3" t="s">
        <v>83</v>
      </c>
      <c r="F2097" s="2">
        <v>43683</v>
      </c>
      <c r="G2097" s="2"/>
      <c r="H2097" s="3299" t="s">
        <v>17</v>
      </c>
      <c r="I2097" s="3" t="s">
        <v>41</v>
      </c>
      <c r="J2097" s="3" t="s">
        <v>19</v>
      </c>
      <c r="K2097" s="3"/>
    </row>
    <row r="2098" spans="1:11" ht="43.2" x14ac:dyDescent="0.3">
      <c r="A2098" s="3" t="s">
        <v>4313</v>
      </c>
      <c r="B2098" s="3" t="str">
        <f>"042078042"</f>
        <v>042078042</v>
      </c>
      <c r="C2098" s="3" t="s">
        <v>2342</v>
      </c>
      <c r="D2098" s="3" t="s">
        <v>4315</v>
      </c>
      <c r="E2098" s="3" t="s">
        <v>83</v>
      </c>
      <c r="F2098" s="2">
        <v>43563</v>
      </c>
      <c r="G2098" s="2"/>
      <c r="H2098" s="3300" t="s">
        <v>17</v>
      </c>
      <c r="I2098" s="3" t="s">
        <v>41</v>
      </c>
      <c r="J2098" s="3" t="s">
        <v>19</v>
      </c>
      <c r="K2098" s="3"/>
    </row>
    <row r="2099" spans="1:11" ht="43.2" x14ac:dyDescent="0.3">
      <c r="A2099" s="3" t="s">
        <v>4316</v>
      </c>
      <c r="B2099" s="3" t="str">
        <f>"041914021"</f>
        <v>041914021</v>
      </c>
      <c r="C2099" s="3" t="s">
        <v>2342</v>
      </c>
      <c r="D2099" s="3" t="s">
        <v>4317</v>
      </c>
      <c r="E2099" s="3" t="s">
        <v>412</v>
      </c>
      <c r="F2099" s="2">
        <v>42871</v>
      </c>
      <c r="G2099" s="2"/>
      <c r="H2099" s="3301" t="s">
        <v>17</v>
      </c>
      <c r="I2099" s="3302" t="s">
        <v>18</v>
      </c>
      <c r="J2099" s="3" t="s">
        <v>19</v>
      </c>
      <c r="K2099" s="3"/>
    </row>
    <row r="2100" spans="1:11" ht="43.2" x14ac:dyDescent="0.3">
      <c r="A2100" s="3" t="s">
        <v>4316</v>
      </c>
      <c r="B2100" s="3" t="str">
        <f>"041914096"</f>
        <v>041914096</v>
      </c>
      <c r="C2100" s="3" t="s">
        <v>2342</v>
      </c>
      <c r="D2100" s="3" t="s">
        <v>4318</v>
      </c>
      <c r="E2100" s="3" t="s">
        <v>412</v>
      </c>
      <c r="F2100" s="2">
        <v>42880</v>
      </c>
      <c r="G2100" s="2"/>
      <c r="H2100" s="3303" t="s">
        <v>17</v>
      </c>
      <c r="I2100" s="3304" t="s">
        <v>18</v>
      </c>
      <c r="J2100" s="3" t="s">
        <v>19</v>
      </c>
      <c r="K2100" s="3"/>
    </row>
    <row r="2101" spans="1:11" ht="43.2" x14ac:dyDescent="0.3">
      <c r="A2101" s="3" t="s">
        <v>4316</v>
      </c>
      <c r="B2101" s="3" t="str">
        <f>"041914146"</f>
        <v>041914146</v>
      </c>
      <c r="C2101" s="3" t="s">
        <v>2342</v>
      </c>
      <c r="D2101" s="3" t="s">
        <v>4319</v>
      </c>
      <c r="E2101" s="3" t="s">
        <v>412</v>
      </c>
      <c r="F2101" s="2">
        <v>42930</v>
      </c>
      <c r="G2101" s="2"/>
      <c r="H2101" s="3305" t="s">
        <v>17</v>
      </c>
      <c r="I2101" s="3306" t="s">
        <v>18</v>
      </c>
      <c r="J2101" s="3" t="s">
        <v>19</v>
      </c>
      <c r="K2101" s="3"/>
    </row>
    <row r="2102" spans="1:11" ht="43.2" x14ac:dyDescent="0.3">
      <c r="A2102" s="3" t="s">
        <v>4320</v>
      </c>
      <c r="B2102" s="3" t="str">
        <f>"040154104"</f>
        <v>040154104</v>
      </c>
      <c r="C2102" s="3" t="s">
        <v>2342</v>
      </c>
      <c r="D2102" s="3" t="s">
        <v>4321</v>
      </c>
      <c r="E2102" s="3" t="s">
        <v>64</v>
      </c>
      <c r="F2102" s="2">
        <v>43800</v>
      </c>
      <c r="G2102" s="2">
        <v>44166</v>
      </c>
      <c r="H2102" s="3307" t="s">
        <v>17</v>
      </c>
      <c r="I2102" s="3" t="s">
        <v>41</v>
      </c>
      <c r="J2102" s="3" t="s">
        <v>19</v>
      </c>
      <c r="K2102" s="3"/>
    </row>
    <row r="2103" spans="1:11" ht="43.2" x14ac:dyDescent="0.3">
      <c r="A2103" s="3" t="s">
        <v>4322</v>
      </c>
      <c r="B2103" s="3" t="str">
        <f>"044673034"</f>
        <v>044673034</v>
      </c>
      <c r="C2103" s="3"/>
      <c r="D2103" s="3" t="s">
        <v>4323</v>
      </c>
      <c r="E2103" s="3" t="s">
        <v>27</v>
      </c>
      <c r="F2103" s="2">
        <v>44007</v>
      </c>
      <c r="G2103" s="2">
        <v>44196</v>
      </c>
      <c r="H2103" s="3308" t="s">
        <v>17</v>
      </c>
      <c r="I2103" s="3" t="s">
        <v>526</v>
      </c>
      <c r="J2103" s="3" t="s">
        <v>19</v>
      </c>
      <c r="K2103" s="3"/>
    </row>
    <row r="2104" spans="1:11" ht="43.2" x14ac:dyDescent="0.3">
      <c r="A2104" s="3" t="s">
        <v>4324</v>
      </c>
      <c r="B2104" s="3" t="str">
        <f>"034842056"</f>
        <v>034842056</v>
      </c>
      <c r="C2104" s="3" t="s">
        <v>4325</v>
      </c>
      <c r="D2104" s="3" t="s">
        <v>4326</v>
      </c>
      <c r="E2104" s="3" t="s">
        <v>24</v>
      </c>
      <c r="F2104" s="2">
        <v>42005</v>
      </c>
      <c r="G2104" s="2"/>
      <c r="H2104" s="3309" t="s">
        <v>17</v>
      </c>
      <c r="I2104" s="3310" t="s">
        <v>18</v>
      </c>
      <c r="J2104" s="3" t="s">
        <v>19</v>
      </c>
      <c r="K2104" s="3"/>
    </row>
    <row r="2105" spans="1:11" ht="72" x14ac:dyDescent="0.3">
      <c r="A2105" s="3" t="s">
        <v>4327</v>
      </c>
      <c r="B2105" s="3" t="str">
        <f>"039541077"</f>
        <v>039541077</v>
      </c>
      <c r="C2105" s="3" t="s">
        <v>4328</v>
      </c>
      <c r="D2105" s="3" t="s">
        <v>4329</v>
      </c>
      <c r="E2105" s="3" t="s">
        <v>4093</v>
      </c>
      <c r="F2105" s="2">
        <v>42429</v>
      </c>
      <c r="G2105" s="2"/>
      <c r="H2105" s="3311" t="s">
        <v>17</v>
      </c>
      <c r="I2105" s="3312" t="s">
        <v>18</v>
      </c>
      <c r="J2105" s="3" t="s">
        <v>19</v>
      </c>
      <c r="K2105" s="3"/>
    </row>
    <row r="2106" spans="1:11" ht="43.2" x14ac:dyDescent="0.3">
      <c r="A2106" s="3" t="s">
        <v>4330</v>
      </c>
      <c r="B2106" s="3" t="str">
        <f>"038770107"</f>
        <v>038770107</v>
      </c>
      <c r="C2106" s="3" t="s">
        <v>4331</v>
      </c>
      <c r="D2106" s="3" t="s">
        <v>4332</v>
      </c>
      <c r="E2106" s="3" t="s">
        <v>83</v>
      </c>
      <c r="F2106" s="2">
        <v>40819</v>
      </c>
      <c r="G2106" s="2"/>
      <c r="H2106" s="3313" t="s">
        <v>17</v>
      </c>
      <c r="I2106" s="3314" t="s">
        <v>18</v>
      </c>
      <c r="J2106" s="3" t="s">
        <v>19</v>
      </c>
      <c r="K2106" s="3"/>
    </row>
    <row r="2107" spans="1:11" ht="43.2" x14ac:dyDescent="0.3">
      <c r="A2107" s="3" t="s">
        <v>4330</v>
      </c>
      <c r="B2107" s="3" t="str">
        <f>"038770121"</f>
        <v>038770121</v>
      </c>
      <c r="C2107" s="3" t="s">
        <v>4331</v>
      </c>
      <c r="D2107" s="3" t="s">
        <v>1788</v>
      </c>
      <c r="E2107" s="3" t="s">
        <v>83</v>
      </c>
      <c r="F2107" s="2">
        <v>43969</v>
      </c>
      <c r="G2107" s="2"/>
      <c r="H2107" s="3315" t="s">
        <v>17</v>
      </c>
      <c r="I2107" s="3" t="s">
        <v>41</v>
      </c>
      <c r="J2107" s="3" t="s">
        <v>19</v>
      </c>
      <c r="K2107" s="3"/>
    </row>
    <row r="2108" spans="1:11" ht="43.2" x14ac:dyDescent="0.3">
      <c r="A2108" s="3" t="s">
        <v>4330</v>
      </c>
      <c r="B2108" s="3" t="str">
        <f>"038770196"</f>
        <v>038770196</v>
      </c>
      <c r="C2108" s="3" t="s">
        <v>4331</v>
      </c>
      <c r="D2108" s="3" t="s">
        <v>4333</v>
      </c>
      <c r="E2108" s="3" t="s">
        <v>83</v>
      </c>
      <c r="F2108" s="2">
        <v>40819</v>
      </c>
      <c r="G2108" s="2"/>
      <c r="H2108" s="3316" t="s">
        <v>17</v>
      </c>
      <c r="I2108" s="3317" t="s">
        <v>18</v>
      </c>
      <c r="J2108" s="3" t="s">
        <v>19</v>
      </c>
      <c r="K2108" s="3"/>
    </row>
    <row r="2109" spans="1:11" ht="43.2" x14ac:dyDescent="0.3">
      <c r="A2109" s="3" t="s">
        <v>4330</v>
      </c>
      <c r="B2109" s="3" t="str">
        <f>"038770285"</f>
        <v>038770285</v>
      </c>
      <c r="C2109" s="3" t="s">
        <v>4331</v>
      </c>
      <c r="D2109" s="3" t="s">
        <v>4334</v>
      </c>
      <c r="E2109" s="3" t="s">
        <v>83</v>
      </c>
      <c r="F2109" s="2">
        <v>44138</v>
      </c>
      <c r="G2109" s="2"/>
      <c r="H2109" s="3318" t="s">
        <v>17</v>
      </c>
      <c r="I2109" s="3" t="s">
        <v>41</v>
      </c>
      <c r="J2109" s="3" t="s">
        <v>19</v>
      </c>
      <c r="K2109" s="3"/>
    </row>
    <row r="2110" spans="1:11" ht="43.2" x14ac:dyDescent="0.3">
      <c r="A2110" s="3" t="s">
        <v>4335</v>
      </c>
      <c r="B2110" s="3" t="str">
        <f>"038821070"</f>
        <v>038821070</v>
      </c>
      <c r="C2110" s="3" t="s">
        <v>4331</v>
      </c>
      <c r="D2110" s="3" t="s">
        <v>3051</v>
      </c>
      <c r="E2110" s="3" t="s">
        <v>83</v>
      </c>
      <c r="F2110" s="2">
        <v>44044</v>
      </c>
      <c r="G2110" s="2"/>
      <c r="H2110" s="3319" t="s">
        <v>17</v>
      </c>
      <c r="I2110" s="3320" t="s">
        <v>18</v>
      </c>
      <c r="J2110" s="3" t="s">
        <v>19</v>
      </c>
      <c r="K2110" s="3"/>
    </row>
    <row r="2111" spans="1:11" ht="43.2" x14ac:dyDescent="0.3">
      <c r="A2111" s="3" t="s">
        <v>4336</v>
      </c>
      <c r="B2111" s="3" t="str">
        <f>"037134347"</f>
        <v>037134347</v>
      </c>
      <c r="C2111" s="3" t="s">
        <v>4331</v>
      </c>
      <c r="D2111" s="3" t="s">
        <v>4337</v>
      </c>
      <c r="E2111" s="3" t="s">
        <v>64</v>
      </c>
      <c r="F2111" s="2">
        <v>41585</v>
      </c>
      <c r="G2111" s="2"/>
      <c r="H2111" s="3321" t="s">
        <v>17</v>
      </c>
      <c r="I2111" s="3322" t="s">
        <v>18</v>
      </c>
      <c r="J2111" s="3" t="s">
        <v>19</v>
      </c>
      <c r="K2111" s="3"/>
    </row>
    <row r="2112" spans="1:11" ht="43.2" x14ac:dyDescent="0.3">
      <c r="A2112" s="3" t="s">
        <v>4338</v>
      </c>
      <c r="B2112" s="3" t="str">
        <f>"026396046"</f>
        <v>026396046</v>
      </c>
      <c r="C2112" s="3" t="s">
        <v>4339</v>
      </c>
      <c r="D2112" s="3" t="s">
        <v>4289</v>
      </c>
      <c r="E2112" s="3" t="s">
        <v>1102</v>
      </c>
      <c r="F2112" s="2">
        <v>43861</v>
      </c>
      <c r="G2112" s="2"/>
      <c r="H2112" s="3323" t="s">
        <v>37</v>
      </c>
      <c r="I2112" s="3324" t="s">
        <v>32</v>
      </c>
      <c r="J2112" s="3" t="s">
        <v>19</v>
      </c>
      <c r="K2112" s="3"/>
    </row>
    <row r="2113" spans="1:11" ht="43.2" x14ac:dyDescent="0.3">
      <c r="A2113" s="3" t="s">
        <v>4340</v>
      </c>
      <c r="B2113" s="3" t="str">
        <f>"042579019"</f>
        <v>042579019</v>
      </c>
      <c r="C2113" s="3" t="s">
        <v>4339</v>
      </c>
      <c r="D2113" s="3" t="s">
        <v>4341</v>
      </c>
      <c r="E2113" s="3" t="s">
        <v>1102</v>
      </c>
      <c r="F2113" s="2">
        <v>43466</v>
      </c>
      <c r="G2113" s="2"/>
      <c r="H2113" s="3325" t="s">
        <v>17</v>
      </c>
      <c r="I2113" s="3" t="s">
        <v>41</v>
      </c>
      <c r="J2113" s="3" t="s">
        <v>19</v>
      </c>
      <c r="K2113" s="3"/>
    </row>
    <row r="2114" spans="1:11" ht="43.2" x14ac:dyDescent="0.3">
      <c r="A2114" s="3" t="s">
        <v>4342</v>
      </c>
      <c r="B2114" s="3" t="str">
        <f>"039469022"</f>
        <v>039469022</v>
      </c>
      <c r="C2114" s="3" t="s">
        <v>4343</v>
      </c>
      <c r="D2114" s="3" t="s">
        <v>4344</v>
      </c>
      <c r="E2114" s="3" t="s">
        <v>878</v>
      </c>
      <c r="F2114" s="2">
        <v>43983</v>
      </c>
      <c r="G2114" s="2">
        <v>44348</v>
      </c>
      <c r="H2114" s="3326" t="s">
        <v>17</v>
      </c>
      <c r="I2114" s="3327" t="s">
        <v>32</v>
      </c>
      <c r="J2114" s="3" t="s">
        <v>19</v>
      </c>
      <c r="K2114" s="3"/>
    </row>
    <row r="2115" spans="1:11" ht="43.2" x14ac:dyDescent="0.3">
      <c r="A2115" s="3" t="s">
        <v>4342</v>
      </c>
      <c r="B2115" s="3" t="str">
        <f>"039469059"</f>
        <v>039469059</v>
      </c>
      <c r="C2115" s="3" t="s">
        <v>4343</v>
      </c>
      <c r="D2115" s="3" t="s">
        <v>4345</v>
      </c>
      <c r="E2115" s="3" t="s">
        <v>878</v>
      </c>
      <c r="F2115" s="2">
        <v>43952</v>
      </c>
      <c r="G2115" s="2">
        <v>44317</v>
      </c>
      <c r="H2115" s="3328" t="s">
        <v>17</v>
      </c>
      <c r="I2115" s="3329" t="s">
        <v>32</v>
      </c>
      <c r="J2115" s="3" t="s">
        <v>19</v>
      </c>
      <c r="K2115" s="3"/>
    </row>
    <row r="2116" spans="1:11" ht="43.2" x14ac:dyDescent="0.3">
      <c r="A2116" s="3" t="s">
        <v>4342</v>
      </c>
      <c r="B2116" s="3" t="str">
        <f>"039469085"</f>
        <v>039469085</v>
      </c>
      <c r="C2116" s="3" t="s">
        <v>4343</v>
      </c>
      <c r="D2116" s="3" t="s">
        <v>4346</v>
      </c>
      <c r="E2116" s="3" t="s">
        <v>878</v>
      </c>
      <c r="F2116" s="2">
        <v>43952</v>
      </c>
      <c r="G2116" s="2">
        <v>44317</v>
      </c>
      <c r="H2116" s="3330" t="s">
        <v>17</v>
      </c>
      <c r="I2116" s="3331" t="s">
        <v>32</v>
      </c>
      <c r="J2116" s="3" t="s">
        <v>19</v>
      </c>
      <c r="K2116" s="3"/>
    </row>
    <row r="2117" spans="1:11" ht="43.2" x14ac:dyDescent="0.3">
      <c r="A2117" s="3" t="s">
        <v>4342</v>
      </c>
      <c r="B2117" s="3" t="str">
        <f>"039469111"</f>
        <v>039469111</v>
      </c>
      <c r="C2117" s="3" t="s">
        <v>4343</v>
      </c>
      <c r="D2117" s="3" t="s">
        <v>4347</v>
      </c>
      <c r="E2117" s="3" t="s">
        <v>878</v>
      </c>
      <c r="F2117" s="2">
        <v>43983</v>
      </c>
      <c r="G2117" s="2">
        <v>44348</v>
      </c>
      <c r="H2117" s="3332" t="s">
        <v>17</v>
      </c>
      <c r="I2117" s="3333" t="s">
        <v>32</v>
      </c>
      <c r="J2117" s="3" t="s">
        <v>19</v>
      </c>
      <c r="K2117" s="3"/>
    </row>
    <row r="2118" spans="1:11" ht="43.2" x14ac:dyDescent="0.3">
      <c r="A2118" s="3" t="s">
        <v>4348</v>
      </c>
      <c r="B2118" s="3" t="str">
        <f>"029169075"</f>
        <v>029169075</v>
      </c>
      <c r="C2118" s="3" t="s">
        <v>318</v>
      </c>
      <c r="D2118" s="3" t="s">
        <v>4349</v>
      </c>
      <c r="E2118" s="3" t="s">
        <v>239</v>
      </c>
      <c r="F2118" s="2">
        <v>44073</v>
      </c>
      <c r="G2118" s="2"/>
      <c r="H2118" s="3334" t="s">
        <v>17</v>
      </c>
      <c r="I2118" s="3335" t="s">
        <v>32</v>
      </c>
      <c r="J2118" s="3" t="s">
        <v>19</v>
      </c>
      <c r="K2118" s="3"/>
    </row>
    <row r="2119" spans="1:11" ht="43.2" x14ac:dyDescent="0.3">
      <c r="A2119" s="3" t="s">
        <v>4350</v>
      </c>
      <c r="B2119" s="3" t="str">
        <f>"023053123"</f>
        <v>023053123</v>
      </c>
      <c r="C2119" s="3" t="s">
        <v>373</v>
      </c>
      <c r="D2119" s="3" t="s">
        <v>416</v>
      </c>
      <c r="E2119" s="3" t="s">
        <v>572</v>
      </c>
      <c r="F2119" s="2">
        <v>44134</v>
      </c>
      <c r="G2119" s="2"/>
      <c r="H2119" s="3336" t="s">
        <v>17</v>
      </c>
      <c r="I2119" s="3337" t="s">
        <v>32</v>
      </c>
      <c r="J2119" s="3" t="s">
        <v>19</v>
      </c>
      <c r="K2119" s="3"/>
    </row>
    <row r="2120" spans="1:11" ht="43.2" x14ac:dyDescent="0.3">
      <c r="A2120" s="3" t="s">
        <v>4351</v>
      </c>
      <c r="B2120" s="3" t="str">
        <f>"036327017"</f>
        <v>036327017</v>
      </c>
      <c r="C2120" s="3" t="s">
        <v>1193</v>
      </c>
      <c r="D2120" s="3" t="s">
        <v>4352</v>
      </c>
      <c r="E2120" s="3" t="s">
        <v>1772</v>
      </c>
      <c r="F2120" s="2">
        <v>43474</v>
      </c>
      <c r="G2120" s="2"/>
      <c r="H2120" s="3338" t="s">
        <v>17</v>
      </c>
      <c r="I2120" s="3339" t="s">
        <v>1773</v>
      </c>
      <c r="J2120" s="3" t="s">
        <v>19</v>
      </c>
      <c r="K2120" s="3"/>
    </row>
    <row r="2121" spans="1:11" ht="57.6" x14ac:dyDescent="0.3">
      <c r="A2121" s="3" t="s">
        <v>4353</v>
      </c>
      <c r="B2121" s="3" t="str">
        <f>"011782012"</f>
        <v>011782012</v>
      </c>
      <c r="C2121" s="3" t="s">
        <v>4354</v>
      </c>
      <c r="D2121" s="3" t="s">
        <v>4355</v>
      </c>
      <c r="E2121" s="3" t="s">
        <v>169</v>
      </c>
      <c r="F2121" s="2">
        <v>43952</v>
      </c>
      <c r="G2121" s="2">
        <v>43989</v>
      </c>
      <c r="H2121" s="3340" t="s">
        <v>37</v>
      </c>
      <c r="I2121" s="3" t="s">
        <v>152</v>
      </c>
      <c r="J2121" s="3" t="s">
        <v>156</v>
      </c>
      <c r="K2121" s="3" t="s">
        <v>4356</v>
      </c>
    </row>
    <row r="2122" spans="1:11" ht="43.2" x14ac:dyDescent="0.3">
      <c r="A2122" s="3" t="s">
        <v>4357</v>
      </c>
      <c r="B2122" s="3" t="str">
        <f>"027209042"</f>
        <v>027209042</v>
      </c>
      <c r="C2122" s="3" t="s">
        <v>4331</v>
      </c>
      <c r="D2122" s="3" t="s">
        <v>4358</v>
      </c>
      <c r="E2122" s="3" t="s">
        <v>438</v>
      </c>
      <c r="F2122" s="2">
        <v>41513</v>
      </c>
      <c r="G2122" s="2"/>
      <c r="H2122" s="3341" t="s">
        <v>17</v>
      </c>
      <c r="I2122" s="3342" t="s">
        <v>18</v>
      </c>
      <c r="J2122" s="3" t="s">
        <v>19</v>
      </c>
      <c r="K2122" s="3"/>
    </row>
    <row r="2123" spans="1:11" ht="43.2" x14ac:dyDescent="0.3">
      <c r="A2123" s="3" t="s">
        <v>4357</v>
      </c>
      <c r="B2123" s="3" t="str">
        <f>"027209028"</f>
        <v>027209028</v>
      </c>
      <c r="C2123" s="3" t="s">
        <v>4331</v>
      </c>
      <c r="D2123" s="3" t="s">
        <v>4359</v>
      </c>
      <c r="E2123" s="3" t="s">
        <v>438</v>
      </c>
      <c r="F2123" s="2">
        <v>41543</v>
      </c>
      <c r="G2123" s="2"/>
      <c r="H2123" s="3343" t="s">
        <v>17</v>
      </c>
      <c r="I2123" s="3344" t="s">
        <v>18</v>
      </c>
      <c r="J2123" s="3" t="s">
        <v>19</v>
      </c>
      <c r="K2123" s="3"/>
    </row>
    <row r="2124" spans="1:11" ht="43.2" x14ac:dyDescent="0.3">
      <c r="A2124" s="3" t="s">
        <v>4360</v>
      </c>
      <c r="B2124" s="3" t="str">
        <f>"032182040"</f>
        <v>032182040</v>
      </c>
      <c r="C2124" s="3" t="s">
        <v>4361</v>
      </c>
      <c r="D2124" s="3" t="s">
        <v>4362</v>
      </c>
      <c r="E2124" s="3" t="s">
        <v>2307</v>
      </c>
      <c r="F2124" s="2">
        <v>43203</v>
      </c>
      <c r="G2124" s="2"/>
      <c r="H2124" s="3345" t="s">
        <v>17</v>
      </c>
      <c r="I2124" s="3346" t="s">
        <v>32</v>
      </c>
      <c r="J2124" s="3" t="s">
        <v>19</v>
      </c>
      <c r="K2124" s="3"/>
    </row>
    <row r="2125" spans="1:11" ht="57.6" x14ac:dyDescent="0.3">
      <c r="A2125" s="3" t="s">
        <v>4363</v>
      </c>
      <c r="B2125" s="3" t="str">
        <f>"030806018"</f>
        <v>030806018</v>
      </c>
      <c r="C2125" s="3" t="s">
        <v>4364</v>
      </c>
      <c r="D2125" s="3" t="s">
        <v>4365</v>
      </c>
      <c r="E2125" s="3" t="s">
        <v>3788</v>
      </c>
      <c r="F2125" s="2">
        <v>42853</v>
      </c>
      <c r="G2125" s="2"/>
      <c r="H2125" s="3347" t="s">
        <v>37</v>
      </c>
      <c r="I2125" s="3" t="s">
        <v>41</v>
      </c>
      <c r="J2125" s="3" t="s">
        <v>156</v>
      </c>
      <c r="K2125" s="3"/>
    </row>
    <row r="2126" spans="1:11" ht="43.2" x14ac:dyDescent="0.3">
      <c r="A2126" s="3" t="s">
        <v>4366</v>
      </c>
      <c r="B2126" s="3" t="str">
        <f>"042013019"</f>
        <v>042013019</v>
      </c>
      <c r="C2126" s="3" t="s">
        <v>4367</v>
      </c>
      <c r="D2126" s="3" t="s">
        <v>4368</v>
      </c>
      <c r="E2126" s="3" t="s">
        <v>927</v>
      </c>
      <c r="F2126" s="2">
        <v>41801</v>
      </c>
      <c r="G2126" s="2"/>
      <c r="H2126" s="3348" t="s">
        <v>37</v>
      </c>
      <c r="I2126" s="3349" t="s">
        <v>32</v>
      </c>
      <c r="J2126" s="3" t="s">
        <v>19</v>
      </c>
      <c r="K2126" s="3"/>
    </row>
    <row r="2127" spans="1:11" ht="57.6" x14ac:dyDescent="0.3">
      <c r="A2127" s="3" t="s">
        <v>4369</v>
      </c>
      <c r="B2127" s="3" t="str">
        <f>"033241011"</f>
        <v>033241011</v>
      </c>
      <c r="C2127" s="3" t="s">
        <v>4370</v>
      </c>
      <c r="D2127" s="3" t="s">
        <v>4371</v>
      </c>
      <c r="E2127" s="3" t="s">
        <v>307</v>
      </c>
      <c r="F2127" s="2">
        <v>43299</v>
      </c>
      <c r="G2127" s="2"/>
      <c r="H2127" s="3350" t="s">
        <v>37</v>
      </c>
      <c r="I2127" s="3351" t="s">
        <v>18</v>
      </c>
      <c r="J2127" s="3" t="s">
        <v>156</v>
      </c>
      <c r="K2127" s="3"/>
    </row>
    <row r="2128" spans="1:11" ht="43.2" x14ac:dyDescent="0.3">
      <c r="A2128" s="3" t="s">
        <v>4372</v>
      </c>
      <c r="B2128" s="3" t="str">
        <f>"030685010"</f>
        <v>030685010</v>
      </c>
      <c r="C2128" s="3" t="s">
        <v>4373</v>
      </c>
      <c r="D2128" s="3" t="s">
        <v>4374</v>
      </c>
      <c r="E2128" s="3" t="s">
        <v>1802</v>
      </c>
      <c r="F2128" s="2">
        <v>43586</v>
      </c>
      <c r="G2128" s="2"/>
      <c r="H2128" s="3352" t="s">
        <v>17</v>
      </c>
      <c r="I2128" s="3" t="s">
        <v>41</v>
      </c>
      <c r="J2128" s="3" t="s">
        <v>19</v>
      </c>
      <c r="K2128" s="3"/>
    </row>
    <row r="2129" spans="1:11" ht="43.2" x14ac:dyDescent="0.3">
      <c r="A2129" s="3" t="s">
        <v>4375</v>
      </c>
      <c r="B2129" s="3" t="str">
        <f>"033984042"</f>
        <v>033984042</v>
      </c>
      <c r="C2129" s="3" t="s">
        <v>4376</v>
      </c>
      <c r="D2129" s="3" t="s">
        <v>4377</v>
      </c>
      <c r="E2129" s="3" t="s">
        <v>161</v>
      </c>
      <c r="F2129" s="2">
        <v>44196</v>
      </c>
      <c r="G2129" s="2"/>
      <c r="H2129" s="3353" t="s">
        <v>17</v>
      </c>
      <c r="I2129" s="3354" t="s">
        <v>18</v>
      </c>
      <c r="J2129" s="3" t="s">
        <v>19</v>
      </c>
      <c r="K2129" s="3"/>
    </row>
    <row r="2130" spans="1:11" ht="43.2" x14ac:dyDescent="0.3">
      <c r="A2130" s="3" t="s">
        <v>4375</v>
      </c>
      <c r="B2130" s="3" t="str">
        <f>"033984055"</f>
        <v>033984055</v>
      </c>
      <c r="C2130" s="3" t="s">
        <v>4376</v>
      </c>
      <c r="D2130" s="3" t="s">
        <v>4378</v>
      </c>
      <c r="E2130" s="3" t="s">
        <v>161</v>
      </c>
      <c r="F2130" s="2">
        <v>44196</v>
      </c>
      <c r="G2130" s="2"/>
      <c r="H2130" s="3355" t="s">
        <v>17</v>
      </c>
      <c r="I2130" s="3356" t="s">
        <v>18</v>
      </c>
      <c r="J2130" s="3" t="s">
        <v>19</v>
      </c>
      <c r="K2130" s="3"/>
    </row>
    <row r="2131" spans="1:11" ht="43.2" x14ac:dyDescent="0.3">
      <c r="A2131" s="3" t="s">
        <v>4379</v>
      </c>
      <c r="B2131" s="3" t="str">
        <f>"025561046"</f>
        <v>025561046</v>
      </c>
      <c r="C2131" s="3" t="s">
        <v>4380</v>
      </c>
      <c r="D2131" s="3" t="s">
        <v>4381</v>
      </c>
      <c r="E2131" s="3" t="s">
        <v>59</v>
      </c>
      <c r="F2131" s="2">
        <v>43564</v>
      </c>
      <c r="G2131" s="2"/>
      <c r="H2131" s="3357" t="s">
        <v>17</v>
      </c>
      <c r="I2131" s="3358" t="s">
        <v>32</v>
      </c>
      <c r="J2131" s="3" t="s">
        <v>19</v>
      </c>
      <c r="K2131" s="3"/>
    </row>
    <row r="2132" spans="1:11" ht="43.2" x14ac:dyDescent="0.3">
      <c r="A2132" s="3" t="s">
        <v>4379</v>
      </c>
      <c r="B2132" s="3" t="str">
        <f>"025561061"</f>
        <v>025561061</v>
      </c>
      <c r="C2132" s="3" t="s">
        <v>4380</v>
      </c>
      <c r="D2132" s="3" t="s">
        <v>4382</v>
      </c>
      <c r="E2132" s="3" t="s">
        <v>59</v>
      </c>
      <c r="F2132" s="2">
        <v>43564</v>
      </c>
      <c r="G2132" s="2"/>
      <c r="H2132" s="3359" t="s">
        <v>17</v>
      </c>
      <c r="I2132" s="3360" t="s">
        <v>32</v>
      </c>
      <c r="J2132" s="3" t="s">
        <v>19</v>
      </c>
      <c r="K2132" s="3"/>
    </row>
    <row r="2133" spans="1:11" ht="43.2" x14ac:dyDescent="0.3">
      <c r="A2133" s="3" t="s">
        <v>4383</v>
      </c>
      <c r="B2133" s="3" t="str">
        <f>"033462021"</f>
        <v>033462021</v>
      </c>
      <c r="C2133" s="3" t="s">
        <v>346</v>
      </c>
      <c r="D2133" s="3" t="s">
        <v>4384</v>
      </c>
      <c r="E2133" s="3" t="s">
        <v>161</v>
      </c>
      <c r="F2133" s="2">
        <v>44130</v>
      </c>
      <c r="G2133" s="2">
        <v>44165</v>
      </c>
      <c r="H2133" s="3361" t="s">
        <v>17</v>
      </c>
      <c r="I2133" s="3" t="s">
        <v>41</v>
      </c>
      <c r="J2133" s="3" t="s">
        <v>19</v>
      </c>
      <c r="K2133" s="3"/>
    </row>
    <row r="2134" spans="1:11" ht="86.4" x14ac:dyDescent="0.3">
      <c r="A2134" s="3" t="s">
        <v>4385</v>
      </c>
      <c r="B2134" s="3" t="str">
        <f>"045199383"</f>
        <v>045199383</v>
      </c>
      <c r="C2134" s="3" t="s">
        <v>4386</v>
      </c>
      <c r="D2134" s="3" t="s">
        <v>4387</v>
      </c>
      <c r="E2134" s="3" t="s">
        <v>27</v>
      </c>
      <c r="F2134" s="2">
        <v>44018</v>
      </c>
      <c r="G2134" s="2">
        <v>44165</v>
      </c>
      <c r="H2134" s="3362" t="s">
        <v>17</v>
      </c>
      <c r="I2134" s="3" t="s">
        <v>41</v>
      </c>
      <c r="J2134" s="3" t="s">
        <v>19</v>
      </c>
      <c r="K2134" s="3" t="s">
        <v>4388</v>
      </c>
    </row>
    <row r="2135" spans="1:11" ht="43.2" x14ac:dyDescent="0.3">
      <c r="A2135" s="3" t="s">
        <v>4389</v>
      </c>
      <c r="B2135" s="3" t="str">
        <f>"040932030"</f>
        <v>040932030</v>
      </c>
      <c r="C2135" s="3" t="s">
        <v>2069</v>
      </c>
      <c r="D2135" s="3" t="s">
        <v>4390</v>
      </c>
      <c r="E2135" s="3" t="s">
        <v>1072</v>
      </c>
      <c r="F2135" s="2">
        <v>42810</v>
      </c>
      <c r="G2135" s="2"/>
      <c r="H2135" s="3363" t="s">
        <v>17</v>
      </c>
      <c r="I2135" s="3" t="s">
        <v>782</v>
      </c>
      <c r="J2135" s="3" t="s">
        <v>19</v>
      </c>
      <c r="K2135" s="3"/>
    </row>
    <row r="2136" spans="1:11" ht="57.6" x14ac:dyDescent="0.3">
      <c r="A2136" s="3" t="s">
        <v>4391</v>
      </c>
      <c r="B2136" s="3" t="str">
        <f>"045048016"</f>
        <v>045048016</v>
      </c>
      <c r="C2136" s="3" t="s">
        <v>2660</v>
      </c>
      <c r="D2136" s="3" t="s">
        <v>4392</v>
      </c>
      <c r="E2136" s="3" t="s">
        <v>107</v>
      </c>
      <c r="F2136" s="2">
        <v>43952</v>
      </c>
      <c r="G2136" s="2"/>
      <c r="H2136" s="3364" t="s">
        <v>17</v>
      </c>
      <c r="I2136" s="3" t="s">
        <v>41</v>
      </c>
      <c r="J2136" s="3" t="s">
        <v>19</v>
      </c>
      <c r="K2136" s="3"/>
    </row>
    <row r="2137" spans="1:11" ht="72" x14ac:dyDescent="0.3">
      <c r="A2137" s="3" t="s">
        <v>4393</v>
      </c>
      <c r="B2137" s="3" t="str">
        <f>"039624034"</f>
        <v>039624034</v>
      </c>
      <c r="C2137" s="3" t="s">
        <v>3617</v>
      </c>
      <c r="D2137" s="3" t="s">
        <v>4394</v>
      </c>
      <c r="E2137" s="3" t="s">
        <v>3619</v>
      </c>
      <c r="F2137" s="2">
        <v>42801</v>
      </c>
      <c r="G2137" s="2"/>
      <c r="H2137" s="3365" t="s">
        <v>17</v>
      </c>
      <c r="I2137" s="3366" t="s">
        <v>18</v>
      </c>
      <c r="J2137" s="3" t="s">
        <v>19</v>
      </c>
      <c r="K2137" s="3"/>
    </row>
    <row r="2138" spans="1:11" ht="72" x14ac:dyDescent="0.3">
      <c r="A2138" s="3" t="s">
        <v>4393</v>
      </c>
      <c r="B2138" s="3" t="str">
        <f>"039624046"</f>
        <v>039624046</v>
      </c>
      <c r="C2138" s="3" t="s">
        <v>3617</v>
      </c>
      <c r="D2138" s="3" t="s">
        <v>4395</v>
      </c>
      <c r="E2138" s="3" t="s">
        <v>3619</v>
      </c>
      <c r="F2138" s="2">
        <v>42826</v>
      </c>
      <c r="G2138" s="2"/>
      <c r="H2138" s="3367" t="s">
        <v>17</v>
      </c>
      <c r="I2138" s="3368" t="s">
        <v>18</v>
      </c>
      <c r="J2138" s="3" t="s">
        <v>19</v>
      </c>
      <c r="K2138" s="3"/>
    </row>
    <row r="2139" spans="1:11" ht="43.2" x14ac:dyDescent="0.3">
      <c r="A2139" s="3" t="s">
        <v>4396</v>
      </c>
      <c r="B2139" s="3" t="str">
        <f>"037456011"</f>
        <v>037456011</v>
      </c>
      <c r="C2139" s="3" t="s">
        <v>1213</v>
      </c>
      <c r="D2139" s="3" t="s">
        <v>4397</v>
      </c>
      <c r="E2139" s="3" t="s">
        <v>173</v>
      </c>
      <c r="F2139" s="2">
        <v>43936</v>
      </c>
      <c r="G2139" s="2"/>
      <c r="H2139" s="3369" t="s">
        <v>17</v>
      </c>
      <c r="I2139" s="3370" t="s">
        <v>18</v>
      </c>
      <c r="J2139" s="3" t="s">
        <v>19</v>
      </c>
      <c r="K2139" s="3"/>
    </row>
    <row r="2140" spans="1:11" ht="43.2" x14ac:dyDescent="0.3">
      <c r="A2140" s="3" t="s">
        <v>4396</v>
      </c>
      <c r="B2140" s="3" t="str">
        <f>"037456050"</f>
        <v>037456050</v>
      </c>
      <c r="C2140" s="3" t="s">
        <v>1213</v>
      </c>
      <c r="D2140" s="3" t="s">
        <v>4398</v>
      </c>
      <c r="E2140" s="3" t="s">
        <v>173</v>
      </c>
      <c r="F2140" s="2">
        <v>43951</v>
      </c>
      <c r="G2140" s="2"/>
      <c r="H2140" s="3371" t="s">
        <v>17</v>
      </c>
      <c r="I2140" s="3372" t="s">
        <v>18</v>
      </c>
      <c r="J2140" s="3" t="s">
        <v>19</v>
      </c>
      <c r="K2140" s="3"/>
    </row>
    <row r="2141" spans="1:11" ht="43.2" x14ac:dyDescent="0.3">
      <c r="A2141" s="3" t="s">
        <v>4396</v>
      </c>
      <c r="B2141" s="3" t="str">
        <f>"037456023"</f>
        <v>037456023</v>
      </c>
      <c r="C2141" s="3" t="s">
        <v>1213</v>
      </c>
      <c r="D2141" s="3" t="s">
        <v>4399</v>
      </c>
      <c r="E2141" s="3" t="s">
        <v>173</v>
      </c>
      <c r="F2141" s="2">
        <v>44227</v>
      </c>
      <c r="G2141" s="2"/>
      <c r="H2141" s="3373" t="s">
        <v>17</v>
      </c>
      <c r="I2141" s="3374" t="s">
        <v>18</v>
      </c>
      <c r="J2141" s="3" t="s">
        <v>19</v>
      </c>
      <c r="K2141" s="3"/>
    </row>
    <row r="2142" spans="1:11" ht="72" x14ac:dyDescent="0.3">
      <c r="A2142" s="3" t="s">
        <v>4400</v>
      </c>
      <c r="B2142" s="3" t="str">
        <f>"035240023"</f>
        <v>035240023</v>
      </c>
      <c r="C2142" s="3" t="s">
        <v>4401</v>
      </c>
      <c r="D2142" s="3" t="s">
        <v>4402</v>
      </c>
      <c r="E2142" s="3" t="s">
        <v>315</v>
      </c>
      <c r="F2142" s="2">
        <v>43388</v>
      </c>
      <c r="G2142" s="2"/>
      <c r="H2142" s="3375" t="s">
        <v>37</v>
      </c>
      <c r="I2142" s="3376" t="s">
        <v>18</v>
      </c>
      <c r="J2142" s="3" t="s">
        <v>19</v>
      </c>
      <c r="K2142" s="3"/>
    </row>
    <row r="2143" spans="1:11" ht="43.2" x14ac:dyDescent="0.3">
      <c r="A2143" s="3" t="s">
        <v>4403</v>
      </c>
      <c r="B2143" s="3" t="str">
        <f>"028580037"</f>
        <v>028580037</v>
      </c>
      <c r="C2143" s="3" t="s">
        <v>4404</v>
      </c>
      <c r="D2143" s="3" t="s">
        <v>4405</v>
      </c>
      <c r="E2143" s="3" t="s">
        <v>59</v>
      </c>
      <c r="F2143" s="2">
        <v>43252</v>
      </c>
      <c r="G2143" s="2"/>
      <c r="H2143" s="3377" t="s">
        <v>37</v>
      </c>
      <c r="I2143" s="3378" t="s">
        <v>32</v>
      </c>
      <c r="J2143" s="3" t="s">
        <v>19</v>
      </c>
      <c r="K2143" s="3"/>
    </row>
    <row r="2144" spans="1:11" ht="43.2" x14ac:dyDescent="0.3">
      <c r="A2144" s="3" t="s">
        <v>4403</v>
      </c>
      <c r="B2144" s="3" t="str">
        <f>"028580049"</f>
        <v>028580049</v>
      </c>
      <c r="C2144" s="3" t="s">
        <v>4404</v>
      </c>
      <c r="D2144" s="3" t="s">
        <v>4406</v>
      </c>
      <c r="E2144" s="3" t="s">
        <v>59</v>
      </c>
      <c r="F2144" s="2">
        <v>43252</v>
      </c>
      <c r="G2144" s="2"/>
      <c r="H2144" s="3379" t="s">
        <v>17</v>
      </c>
      <c r="I2144" s="3380" t="s">
        <v>32</v>
      </c>
      <c r="J2144" s="3" t="s">
        <v>19</v>
      </c>
      <c r="K2144" s="3"/>
    </row>
    <row r="2145" spans="1:11" ht="115.2" x14ac:dyDescent="0.3">
      <c r="A2145" s="3" t="s">
        <v>4407</v>
      </c>
      <c r="B2145" s="3" t="str">
        <f>"040353017"</f>
        <v>040353017</v>
      </c>
      <c r="C2145" s="3" t="s">
        <v>4408</v>
      </c>
      <c r="D2145" s="3" t="s">
        <v>4409</v>
      </c>
      <c r="E2145" s="3" t="s">
        <v>191</v>
      </c>
      <c r="F2145" s="2">
        <v>43493</v>
      </c>
      <c r="G2145" s="2"/>
      <c r="H2145" s="3381" t="s">
        <v>17</v>
      </c>
      <c r="I2145" s="3382" t="s">
        <v>18</v>
      </c>
      <c r="J2145" s="3" t="s">
        <v>19</v>
      </c>
      <c r="K2145" s="3"/>
    </row>
    <row r="2146" spans="1:11" ht="115.2" x14ac:dyDescent="0.3">
      <c r="A2146" s="3" t="s">
        <v>4407</v>
      </c>
      <c r="B2146" s="3" t="str">
        <f>"040353043"</f>
        <v>040353043</v>
      </c>
      <c r="C2146" s="3" t="s">
        <v>4408</v>
      </c>
      <c r="D2146" s="3" t="s">
        <v>4410</v>
      </c>
      <c r="E2146" s="3" t="s">
        <v>191</v>
      </c>
      <c r="F2146" s="2">
        <v>43493</v>
      </c>
      <c r="G2146" s="2"/>
      <c r="H2146" s="3383" t="s">
        <v>17</v>
      </c>
      <c r="I2146" s="3384" t="s">
        <v>18</v>
      </c>
      <c r="J2146" s="3" t="s">
        <v>19</v>
      </c>
      <c r="K2146" s="3"/>
    </row>
    <row r="2147" spans="1:11" ht="43.2" x14ac:dyDescent="0.3">
      <c r="A2147" s="3" t="s">
        <v>4411</v>
      </c>
      <c r="B2147" s="3" t="str">
        <f>"024350023"</f>
        <v>024350023</v>
      </c>
      <c r="C2147" s="3" t="s">
        <v>4412</v>
      </c>
      <c r="D2147" s="3" t="s">
        <v>4413</v>
      </c>
      <c r="E2147" s="3" t="s">
        <v>1287</v>
      </c>
      <c r="F2147" s="2">
        <v>44089</v>
      </c>
      <c r="G2147" s="2">
        <v>44134</v>
      </c>
      <c r="H2147" s="3385" t="s">
        <v>17</v>
      </c>
      <c r="I2147" s="3" t="s">
        <v>41</v>
      </c>
      <c r="J2147" s="3" t="s">
        <v>19</v>
      </c>
      <c r="K2147" s="3"/>
    </row>
    <row r="2148" spans="1:11" ht="43.2" x14ac:dyDescent="0.3">
      <c r="A2148" s="3" t="s">
        <v>4414</v>
      </c>
      <c r="B2148" s="3" t="str">
        <f>"037087020"</f>
        <v>037087020</v>
      </c>
      <c r="C2148" s="3" t="s">
        <v>2638</v>
      </c>
      <c r="D2148" s="3" t="s">
        <v>4415</v>
      </c>
      <c r="E2148" s="3" t="s">
        <v>4416</v>
      </c>
      <c r="F2148" s="2">
        <v>42352</v>
      </c>
      <c r="G2148" s="2"/>
      <c r="H2148" s="3386" t="s">
        <v>17</v>
      </c>
      <c r="I2148" s="3387" t="s">
        <v>32</v>
      </c>
      <c r="J2148" s="3" t="s">
        <v>19</v>
      </c>
      <c r="K2148" s="3"/>
    </row>
    <row r="2149" spans="1:11" ht="43.2" x14ac:dyDescent="0.3">
      <c r="A2149" s="3" t="s">
        <v>4417</v>
      </c>
      <c r="B2149" s="3" t="str">
        <f>"028710022"</f>
        <v>028710022</v>
      </c>
      <c r="C2149" s="3" t="s">
        <v>2063</v>
      </c>
      <c r="D2149" s="3" t="s">
        <v>4418</v>
      </c>
      <c r="E2149" s="3" t="s">
        <v>456</v>
      </c>
      <c r="F2149" s="2">
        <v>43256</v>
      </c>
      <c r="G2149" s="2"/>
      <c r="H2149" s="3388" t="s">
        <v>17</v>
      </c>
      <c r="I2149" s="3389" t="s">
        <v>18</v>
      </c>
      <c r="J2149" s="3" t="s">
        <v>19</v>
      </c>
      <c r="K2149" s="3"/>
    </row>
    <row r="2150" spans="1:11" ht="43.2" x14ac:dyDescent="0.3">
      <c r="A2150" s="3" t="s">
        <v>4417</v>
      </c>
      <c r="B2150" s="3" t="str">
        <f>"028710034"</f>
        <v>028710034</v>
      </c>
      <c r="C2150" s="3" t="s">
        <v>2063</v>
      </c>
      <c r="D2150" s="3" t="s">
        <v>4419</v>
      </c>
      <c r="E2150" s="3" t="s">
        <v>456</v>
      </c>
      <c r="F2150" s="2">
        <v>43256</v>
      </c>
      <c r="G2150" s="2"/>
      <c r="H2150" s="3390" t="s">
        <v>17</v>
      </c>
      <c r="I2150" s="3391" t="s">
        <v>18</v>
      </c>
      <c r="J2150" s="3" t="s">
        <v>19</v>
      </c>
      <c r="K2150" s="3"/>
    </row>
    <row r="2151" spans="1:11" ht="43.2" x14ac:dyDescent="0.3">
      <c r="A2151" s="3" t="s">
        <v>4420</v>
      </c>
      <c r="B2151" s="3" t="str">
        <f>"026916080"</f>
        <v>026916080</v>
      </c>
      <c r="C2151" s="3" t="s">
        <v>4421</v>
      </c>
      <c r="D2151" s="3" t="s">
        <v>4422</v>
      </c>
      <c r="E2151" s="3" t="s">
        <v>456</v>
      </c>
      <c r="F2151" s="2">
        <v>40872</v>
      </c>
      <c r="G2151" s="2"/>
      <c r="H2151" s="3392" t="s">
        <v>17</v>
      </c>
      <c r="I2151" s="3393" t="s">
        <v>18</v>
      </c>
      <c r="J2151" s="3" t="s">
        <v>19</v>
      </c>
      <c r="K2151" s="3"/>
    </row>
    <row r="2152" spans="1:11" ht="72" x14ac:dyDescent="0.3">
      <c r="A2152" s="3" t="s">
        <v>4423</v>
      </c>
      <c r="B2152" s="3" t="str">
        <f>"043661014"</f>
        <v>043661014</v>
      </c>
      <c r="C2152" s="3" t="s">
        <v>4424</v>
      </c>
      <c r="D2152" s="3" t="s">
        <v>4425</v>
      </c>
      <c r="E2152" s="3" t="s">
        <v>3184</v>
      </c>
      <c r="F2152" s="2">
        <v>44211</v>
      </c>
      <c r="G2152" s="2"/>
      <c r="H2152" s="3394" t="s">
        <v>17</v>
      </c>
      <c r="I2152" s="3395" t="s">
        <v>18</v>
      </c>
      <c r="J2152" s="3" t="s">
        <v>19</v>
      </c>
      <c r="K2152" s="3"/>
    </row>
    <row r="2153" spans="1:11" ht="57.6" x14ac:dyDescent="0.3">
      <c r="A2153" s="3" t="s">
        <v>4426</v>
      </c>
      <c r="B2153" s="3" t="str">
        <f>"038880011"</f>
        <v>038880011</v>
      </c>
      <c r="C2153" s="3" t="s">
        <v>4427</v>
      </c>
      <c r="D2153" s="3" t="s">
        <v>4428</v>
      </c>
      <c r="E2153" s="3" t="s">
        <v>3184</v>
      </c>
      <c r="F2153" s="2">
        <v>44211</v>
      </c>
      <c r="G2153" s="2"/>
      <c r="H2153" s="3396" t="s">
        <v>17</v>
      </c>
      <c r="I2153" s="3397" t="s">
        <v>18</v>
      </c>
      <c r="J2153" s="3" t="s">
        <v>19</v>
      </c>
      <c r="K2153" s="3"/>
    </row>
    <row r="2154" spans="1:11" ht="57.6" x14ac:dyDescent="0.3">
      <c r="A2154" s="3" t="s">
        <v>4429</v>
      </c>
      <c r="B2154" s="3" t="str">
        <f>"027808031"</f>
        <v>027808031</v>
      </c>
      <c r="C2154" s="3" t="s">
        <v>4430</v>
      </c>
      <c r="D2154" s="3" t="s">
        <v>4431</v>
      </c>
      <c r="E2154" s="3" t="s">
        <v>3224</v>
      </c>
      <c r="F2154" s="2">
        <v>44206</v>
      </c>
      <c r="G2154" s="2"/>
      <c r="H2154" s="3398" t="s">
        <v>37</v>
      </c>
      <c r="I2154" s="3399" t="s">
        <v>18</v>
      </c>
      <c r="J2154" s="3" t="s">
        <v>19</v>
      </c>
      <c r="K2154" s="3"/>
    </row>
    <row r="2155" spans="1:11" ht="43.2" x14ac:dyDescent="0.3">
      <c r="A2155" s="3" t="s">
        <v>4432</v>
      </c>
      <c r="B2155" s="3" t="str">
        <f>"037400076"</f>
        <v>037400076</v>
      </c>
      <c r="C2155" s="3" t="s">
        <v>4433</v>
      </c>
      <c r="D2155" s="3" t="s">
        <v>4434</v>
      </c>
      <c r="E2155" s="3" t="s">
        <v>3421</v>
      </c>
      <c r="F2155" s="2">
        <v>41333</v>
      </c>
      <c r="G2155" s="2"/>
      <c r="H2155" s="3400" t="s">
        <v>37</v>
      </c>
      <c r="I2155" s="3401" t="s">
        <v>18</v>
      </c>
      <c r="J2155" s="3" t="s">
        <v>19</v>
      </c>
      <c r="K2155" s="3"/>
    </row>
    <row r="2156" spans="1:11" ht="72" x14ac:dyDescent="0.3">
      <c r="A2156" s="3" t="s">
        <v>4435</v>
      </c>
      <c r="B2156" s="3" t="str">
        <f>"043460056"</f>
        <v>043460056</v>
      </c>
      <c r="C2156" s="3" t="s">
        <v>4427</v>
      </c>
      <c r="D2156" s="3" t="s">
        <v>4436</v>
      </c>
      <c r="E2156" s="3" t="s">
        <v>3184</v>
      </c>
      <c r="F2156" s="2">
        <v>43890</v>
      </c>
      <c r="G2156" s="2"/>
      <c r="H2156" s="3402" t="s">
        <v>17</v>
      </c>
      <c r="I2156" s="3403" t="s">
        <v>32</v>
      </c>
      <c r="J2156" s="3" t="s">
        <v>19</v>
      </c>
      <c r="K2156" s="3"/>
    </row>
    <row r="2157" spans="1:11" ht="43.2" x14ac:dyDescent="0.3">
      <c r="A2157" s="3" t="s">
        <v>4437</v>
      </c>
      <c r="B2157" s="3" t="str">
        <f>"038805014"</f>
        <v>038805014</v>
      </c>
      <c r="C2157" s="3" t="s">
        <v>4438</v>
      </c>
      <c r="D2157" s="3" t="s">
        <v>4439</v>
      </c>
      <c r="E2157" s="3" t="s">
        <v>4440</v>
      </c>
      <c r="F2157" s="2">
        <v>43770</v>
      </c>
      <c r="G2157" s="2">
        <v>43951</v>
      </c>
      <c r="H2157" s="3404" t="s">
        <v>37</v>
      </c>
      <c r="I2157" s="3" t="s">
        <v>41</v>
      </c>
      <c r="J2157" s="3" t="s">
        <v>19</v>
      </c>
      <c r="K2157" s="3"/>
    </row>
    <row r="2158" spans="1:11" ht="43.2" x14ac:dyDescent="0.3">
      <c r="A2158" s="3" t="s">
        <v>4441</v>
      </c>
      <c r="B2158" s="3" t="str">
        <f>"014284018"</f>
        <v>014284018</v>
      </c>
      <c r="C2158" s="3" t="s">
        <v>4442</v>
      </c>
      <c r="D2158" s="3" t="s">
        <v>4443</v>
      </c>
      <c r="E2158" s="3" t="s">
        <v>576</v>
      </c>
      <c r="F2158" s="2">
        <v>42558</v>
      </c>
      <c r="G2158" s="2"/>
      <c r="H2158" s="3405" t="s">
        <v>37</v>
      </c>
      <c r="I2158" s="3406" t="s">
        <v>18</v>
      </c>
      <c r="J2158" s="3" t="s">
        <v>19</v>
      </c>
      <c r="K2158" s="3"/>
    </row>
    <row r="2159" spans="1:11" ht="43.2" x14ac:dyDescent="0.3">
      <c r="A2159" s="3" t="s">
        <v>4444</v>
      </c>
      <c r="B2159" s="3" t="str">
        <f>"033735034"</f>
        <v>033735034</v>
      </c>
      <c r="C2159" s="3" t="s">
        <v>3427</v>
      </c>
      <c r="D2159" s="3" t="s">
        <v>4445</v>
      </c>
      <c r="E2159" s="3" t="s">
        <v>659</v>
      </c>
      <c r="F2159" s="2">
        <v>43220</v>
      </c>
      <c r="G2159" s="2"/>
      <c r="H2159" s="3407" t="s">
        <v>37</v>
      </c>
      <c r="I2159" s="3408" t="s">
        <v>18</v>
      </c>
      <c r="J2159" s="3" t="s">
        <v>19</v>
      </c>
      <c r="K2159" s="3"/>
    </row>
    <row r="2160" spans="1:11" ht="43.2" x14ac:dyDescent="0.3">
      <c r="A2160" s="3" t="s">
        <v>4444</v>
      </c>
      <c r="B2160" s="3" t="str">
        <f>"033735061"</f>
        <v>033735061</v>
      </c>
      <c r="C2160" s="3" t="s">
        <v>3427</v>
      </c>
      <c r="D2160" s="3" t="s">
        <v>4446</v>
      </c>
      <c r="E2160" s="3" t="s">
        <v>659</v>
      </c>
      <c r="F2160" s="2">
        <v>43433</v>
      </c>
      <c r="G2160" s="2"/>
      <c r="H2160" s="3409" t="s">
        <v>37</v>
      </c>
      <c r="I2160" s="3410" t="s">
        <v>18</v>
      </c>
      <c r="J2160" s="3" t="s">
        <v>19</v>
      </c>
      <c r="K2160" s="3"/>
    </row>
    <row r="2161" spans="1:11" ht="43.2" x14ac:dyDescent="0.3">
      <c r="A2161" s="3" t="s">
        <v>4447</v>
      </c>
      <c r="B2161" s="3" t="str">
        <f>"032049025"</f>
        <v>032049025</v>
      </c>
      <c r="C2161" s="3" t="s">
        <v>4448</v>
      </c>
      <c r="D2161" s="3" t="s">
        <v>4449</v>
      </c>
      <c r="E2161" s="3" t="s">
        <v>3211</v>
      </c>
      <c r="F2161" s="2">
        <v>43554</v>
      </c>
      <c r="G2161" s="2"/>
      <c r="H2161" s="3411" t="s">
        <v>37</v>
      </c>
      <c r="I2161" s="3" t="s">
        <v>41</v>
      </c>
      <c r="J2161" s="3" t="s">
        <v>19</v>
      </c>
      <c r="K2161" s="3"/>
    </row>
    <row r="2162" spans="1:11" ht="43.2" x14ac:dyDescent="0.3">
      <c r="A2162" s="3" t="s">
        <v>4447</v>
      </c>
      <c r="B2162" s="3" t="str">
        <f>"032049037"</f>
        <v>032049037</v>
      </c>
      <c r="C2162" s="3" t="s">
        <v>4448</v>
      </c>
      <c r="D2162" s="3" t="s">
        <v>4450</v>
      </c>
      <c r="E2162" s="3" t="s">
        <v>3211</v>
      </c>
      <c r="F2162" s="2">
        <v>43554</v>
      </c>
      <c r="G2162" s="2"/>
      <c r="H2162" s="3412" t="s">
        <v>37</v>
      </c>
      <c r="I2162" s="3" t="s">
        <v>41</v>
      </c>
      <c r="J2162" s="3" t="s">
        <v>19</v>
      </c>
      <c r="K2162" s="3"/>
    </row>
    <row r="2163" spans="1:11" ht="43.2" x14ac:dyDescent="0.3">
      <c r="A2163" s="3" t="s">
        <v>4451</v>
      </c>
      <c r="B2163" s="3" t="str">
        <f>"015001074"</f>
        <v>015001074</v>
      </c>
      <c r="C2163" s="3" t="s">
        <v>4452</v>
      </c>
      <c r="D2163" s="3" t="s">
        <v>4453</v>
      </c>
      <c r="E2163" s="3" t="s">
        <v>1353</v>
      </c>
      <c r="F2163" s="2">
        <v>43271</v>
      </c>
      <c r="G2163" s="2"/>
      <c r="H2163" s="3413" t="s">
        <v>17</v>
      </c>
      <c r="I2163" s="3" t="s">
        <v>782</v>
      </c>
      <c r="J2163" s="3" t="s">
        <v>19</v>
      </c>
      <c r="K2163" s="3"/>
    </row>
    <row r="2164" spans="1:11" ht="43.2" x14ac:dyDescent="0.3">
      <c r="A2164" s="3" t="s">
        <v>4454</v>
      </c>
      <c r="B2164" s="3" t="str">
        <f>"037063132"</f>
        <v>037063132</v>
      </c>
      <c r="C2164" s="3" t="s">
        <v>4455</v>
      </c>
      <c r="D2164" s="3" t="s">
        <v>4456</v>
      </c>
      <c r="E2164" s="3" t="s">
        <v>2378</v>
      </c>
      <c r="F2164" s="2">
        <v>42947</v>
      </c>
      <c r="G2164" s="2"/>
      <c r="H2164" s="3414" t="s">
        <v>37</v>
      </c>
      <c r="I2164" s="3415" t="s">
        <v>32</v>
      </c>
      <c r="J2164" s="3" t="s">
        <v>19</v>
      </c>
      <c r="K2164" s="3"/>
    </row>
    <row r="2165" spans="1:11" ht="43.2" x14ac:dyDescent="0.3">
      <c r="A2165" s="3" t="s">
        <v>4454</v>
      </c>
      <c r="B2165" s="3" t="str">
        <f>"037063094"</f>
        <v>037063094</v>
      </c>
      <c r="C2165" s="3" t="s">
        <v>4455</v>
      </c>
      <c r="D2165" s="3" t="s">
        <v>4457</v>
      </c>
      <c r="E2165" s="3" t="s">
        <v>2378</v>
      </c>
      <c r="F2165" s="2">
        <v>42947</v>
      </c>
      <c r="G2165" s="2"/>
      <c r="H2165" s="3416" t="s">
        <v>37</v>
      </c>
      <c r="I2165" s="3417" t="s">
        <v>32</v>
      </c>
      <c r="J2165" s="3" t="s">
        <v>19</v>
      </c>
      <c r="K2165" s="3"/>
    </row>
    <row r="2166" spans="1:11" ht="43.2" x14ac:dyDescent="0.3">
      <c r="A2166" s="3" t="s">
        <v>4454</v>
      </c>
      <c r="B2166" s="3" t="str">
        <f>"037063308"</f>
        <v>037063308</v>
      </c>
      <c r="C2166" s="3" t="s">
        <v>4455</v>
      </c>
      <c r="D2166" s="3" t="s">
        <v>4458</v>
      </c>
      <c r="E2166" s="3" t="s">
        <v>2378</v>
      </c>
      <c r="F2166" s="2">
        <v>42947</v>
      </c>
      <c r="G2166" s="2"/>
      <c r="H2166" s="3418" t="s">
        <v>37</v>
      </c>
      <c r="I2166" s="3419" t="s">
        <v>32</v>
      </c>
      <c r="J2166" s="3" t="s">
        <v>19</v>
      </c>
      <c r="K2166" s="3"/>
    </row>
    <row r="2167" spans="1:11" ht="43.2" x14ac:dyDescent="0.3">
      <c r="A2167" s="3" t="s">
        <v>4459</v>
      </c>
      <c r="B2167" s="3" t="str">
        <f>"023589031"</f>
        <v>023589031</v>
      </c>
      <c r="C2167" s="3" t="s">
        <v>4460</v>
      </c>
      <c r="D2167" s="3" t="s">
        <v>4461</v>
      </c>
      <c r="E2167" s="3" t="s">
        <v>2812</v>
      </c>
      <c r="F2167" s="2">
        <v>43784</v>
      </c>
      <c r="G2167" s="2">
        <v>44347</v>
      </c>
      <c r="H2167" s="3420" t="s">
        <v>37</v>
      </c>
      <c r="I2167" s="3" t="s">
        <v>41</v>
      </c>
      <c r="J2167" s="3" t="s">
        <v>19</v>
      </c>
      <c r="K2167" s="3"/>
    </row>
    <row r="2168" spans="1:11" ht="57.6" x14ac:dyDescent="0.3">
      <c r="A2168" s="3" t="s">
        <v>4462</v>
      </c>
      <c r="B2168" s="3" t="str">
        <f>"042432017"</f>
        <v>042432017</v>
      </c>
      <c r="C2168" s="3" t="s">
        <v>4463</v>
      </c>
      <c r="D2168" s="3" t="s">
        <v>4464</v>
      </c>
      <c r="E2168" s="3" t="s">
        <v>3184</v>
      </c>
      <c r="F2168" s="2">
        <v>44211</v>
      </c>
      <c r="G2168" s="2"/>
      <c r="H2168" s="3421" t="s">
        <v>17</v>
      </c>
      <c r="I2168" s="3422" t="s">
        <v>18</v>
      </c>
      <c r="J2168" s="3" t="s">
        <v>19</v>
      </c>
      <c r="K2168" s="3"/>
    </row>
    <row r="2169" spans="1:11" ht="43.2" x14ac:dyDescent="0.3">
      <c r="A2169" s="3" t="s">
        <v>4465</v>
      </c>
      <c r="B2169" s="3" t="str">
        <f>"042334019"</f>
        <v>042334019</v>
      </c>
      <c r="C2169" s="3" t="s">
        <v>193</v>
      </c>
      <c r="D2169" s="3" t="s">
        <v>194</v>
      </c>
      <c r="E2169" s="3" t="s">
        <v>107</v>
      </c>
      <c r="F2169" s="2">
        <v>43052</v>
      </c>
      <c r="G2169" s="2"/>
      <c r="H2169" s="3423" t="s">
        <v>17</v>
      </c>
      <c r="I2169" s="3424" t="s">
        <v>18</v>
      </c>
      <c r="J2169" s="3" t="s">
        <v>19</v>
      </c>
      <c r="K2169" s="3"/>
    </row>
    <row r="2170" spans="1:11" ht="43.2" x14ac:dyDescent="0.3">
      <c r="A2170" s="3" t="s">
        <v>4466</v>
      </c>
      <c r="B2170" s="3" t="str">
        <f>"028480034"</f>
        <v>028480034</v>
      </c>
      <c r="C2170" s="3" t="s">
        <v>4467</v>
      </c>
      <c r="D2170" s="3" t="s">
        <v>4468</v>
      </c>
      <c r="E2170" s="3" t="s">
        <v>2203</v>
      </c>
      <c r="F2170" s="2">
        <v>43190</v>
      </c>
      <c r="G2170" s="2"/>
      <c r="H2170" s="3425" t="s">
        <v>17</v>
      </c>
      <c r="I2170" s="3426" t="s">
        <v>32</v>
      </c>
      <c r="J2170" s="3" t="s">
        <v>19</v>
      </c>
      <c r="K2170" s="3"/>
    </row>
    <row r="2171" spans="1:11" ht="43.2" x14ac:dyDescent="0.3">
      <c r="A2171" s="3" t="s">
        <v>4469</v>
      </c>
      <c r="B2171" s="3" t="str">
        <f>"025822026"</f>
        <v>025822026</v>
      </c>
      <c r="C2171" s="3" t="s">
        <v>2201</v>
      </c>
      <c r="D2171" s="3" t="s">
        <v>4470</v>
      </c>
      <c r="E2171" s="3" t="s">
        <v>161</v>
      </c>
      <c r="F2171" s="2">
        <v>43423</v>
      </c>
      <c r="G2171" s="2"/>
      <c r="H2171" s="3427" t="s">
        <v>17</v>
      </c>
      <c r="I2171" s="3" t="s">
        <v>41</v>
      </c>
      <c r="J2171" s="3" t="s">
        <v>19</v>
      </c>
      <c r="K2171" s="3"/>
    </row>
    <row r="2172" spans="1:11" ht="43.2" x14ac:dyDescent="0.3">
      <c r="A2172" s="3" t="s">
        <v>4471</v>
      </c>
      <c r="B2172" s="3" t="str">
        <f>"025724067"</f>
        <v>025724067</v>
      </c>
      <c r="C2172" s="3" t="s">
        <v>2201</v>
      </c>
      <c r="D2172" s="3" t="s">
        <v>4472</v>
      </c>
      <c r="E2172" s="3" t="s">
        <v>4473</v>
      </c>
      <c r="F2172" s="2">
        <v>43426</v>
      </c>
      <c r="G2172" s="2">
        <v>44195</v>
      </c>
      <c r="H2172" s="3428" t="s">
        <v>17</v>
      </c>
      <c r="I2172" s="3" t="s">
        <v>41</v>
      </c>
      <c r="J2172" s="3" t="s">
        <v>19</v>
      </c>
      <c r="K2172" s="3"/>
    </row>
    <row r="2173" spans="1:11" ht="43.2" x14ac:dyDescent="0.3">
      <c r="A2173" s="3" t="s">
        <v>4474</v>
      </c>
      <c r="B2173" s="3" t="str">
        <f>"038130035"</f>
        <v>038130035</v>
      </c>
      <c r="C2173" s="3" t="s">
        <v>4475</v>
      </c>
      <c r="D2173" s="3" t="s">
        <v>4476</v>
      </c>
      <c r="E2173" s="3" t="s">
        <v>83</v>
      </c>
      <c r="F2173" s="2">
        <v>44063</v>
      </c>
      <c r="G2173" s="2"/>
      <c r="H2173" s="3429" t="s">
        <v>17</v>
      </c>
      <c r="I2173" s="3430" t="s">
        <v>18</v>
      </c>
      <c r="J2173" s="3" t="s">
        <v>19</v>
      </c>
      <c r="K2173" s="3" t="s">
        <v>4477</v>
      </c>
    </row>
    <row r="2174" spans="1:11" ht="43.2" x14ac:dyDescent="0.3">
      <c r="A2174" s="3" t="s">
        <v>4474</v>
      </c>
      <c r="B2174" s="3" t="str">
        <f>"038130213"</f>
        <v>038130213</v>
      </c>
      <c r="C2174" s="3" t="s">
        <v>4475</v>
      </c>
      <c r="D2174" s="3" t="s">
        <v>4478</v>
      </c>
      <c r="E2174" s="3" t="s">
        <v>83</v>
      </c>
      <c r="F2174" s="2">
        <v>43941</v>
      </c>
      <c r="G2174" s="2"/>
      <c r="H2174" s="3431" t="s">
        <v>17</v>
      </c>
      <c r="I2174" s="3432" t="s">
        <v>18</v>
      </c>
      <c r="J2174" s="3" t="s">
        <v>19</v>
      </c>
      <c r="K2174" s="3" t="s">
        <v>4479</v>
      </c>
    </row>
    <row r="2175" spans="1:11" ht="43.2" x14ac:dyDescent="0.3">
      <c r="A2175" s="3" t="s">
        <v>4480</v>
      </c>
      <c r="B2175" s="3" t="str">
        <f>"046202014"</f>
        <v>046202014</v>
      </c>
      <c r="C2175" s="3" t="s">
        <v>4481</v>
      </c>
      <c r="D2175" s="3" t="s">
        <v>4482</v>
      </c>
      <c r="E2175" s="3" t="s">
        <v>83</v>
      </c>
      <c r="F2175" s="2">
        <v>44214</v>
      </c>
      <c r="G2175" s="2"/>
      <c r="H2175" s="3433" t="s">
        <v>17</v>
      </c>
      <c r="I2175" s="3" t="s">
        <v>41</v>
      </c>
      <c r="J2175" s="3" t="s">
        <v>19</v>
      </c>
      <c r="K2175" s="3"/>
    </row>
    <row r="2176" spans="1:11" ht="57.6" x14ac:dyDescent="0.3">
      <c r="A2176" s="3" t="s">
        <v>4483</v>
      </c>
      <c r="B2176" s="3" t="str">
        <f>"025540016"</f>
        <v>025540016</v>
      </c>
      <c r="C2176" s="3" t="s">
        <v>4484</v>
      </c>
      <c r="D2176" s="3" t="s">
        <v>4485</v>
      </c>
      <c r="E2176" s="3" t="s">
        <v>2812</v>
      </c>
      <c r="F2176" s="2">
        <v>44144</v>
      </c>
      <c r="G2176" s="2"/>
      <c r="H2176" s="3434" t="s">
        <v>37</v>
      </c>
      <c r="I2176" s="3" t="s">
        <v>92</v>
      </c>
      <c r="J2176" s="3" t="s">
        <v>156</v>
      </c>
      <c r="K2176" s="3"/>
    </row>
    <row r="2177" spans="1:11" ht="57.6" x14ac:dyDescent="0.3">
      <c r="A2177" s="3" t="s">
        <v>4483</v>
      </c>
      <c r="B2177" s="3" t="str">
        <f>"025540028"</f>
        <v>025540028</v>
      </c>
      <c r="C2177" s="3" t="s">
        <v>4484</v>
      </c>
      <c r="D2177" s="3" t="s">
        <v>4486</v>
      </c>
      <c r="E2177" s="3" t="s">
        <v>2812</v>
      </c>
      <c r="F2177" s="2">
        <v>44144</v>
      </c>
      <c r="G2177" s="2"/>
      <c r="H2177" s="3435" t="s">
        <v>37</v>
      </c>
      <c r="I2177" s="3" t="s">
        <v>92</v>
      </c>
      <c r="J2177" s="3" t="s">
        <v>156</v>
      </c>
      <c r="K2177" s="3"/>
    </row>
    <row r="2178" spans="1:11" ht="43.2" x14ac:dyDescent="0.3">
      <c r="A2178" s="3" t="s">
        <v>4487</v>
      </c>
      <c r="B2178" s="3" t="str">
        <f>"038035010"</f>
        <v>038035010</v>
      </c>
      <c r="C2178" s="3" t="s">
        <v>1081</v>
      </c>
      <c r="D2178" s="3" t="s">
        <v>4488</v>
      </c>
      <c r="E2178" s="3" t="s">
        <v>2672</v>
      </c>
      <c r="F2178" s="2">
        <v>43154</v>
      </c>
      <c r="G2178" s="2"/>
      <c r="H2178" s="3436" t="s">
        <v>17</v>
      </c>
      <c r="I2178" s="3437" t="s">
        <v>18</v>
      </c>
      <c r="J2178" s="3" t="s">
        <v>19</v>
      </c>
      <c r="K2178" s="3"/>
    </row>
    <row r="2179" spans="1:11" ht="43.2" x14ac:dyDescent="0.3">
      <c r="A2179" s="3" t="s">
        <v>4489</v>
      </c>
      <c r="B2179" s="3" t="str">
        <f>"034380028"</f>
        <v>034380028</v>
      </c>
      <c r="C2179" s="3" t="s">
        <v>1629</v>
      </c>
      <c r="D2179" s="3" t="s">
        <v>4490</v>
      </c>
      <c r="E2179" s="3" t="s">
        <v>3421</v>
      </c>
      <c r="F2179" s="2">
        <v>42580</v>
      </c>
      <c r="G2179" s="2"/>
      <c r="H2179" s="3438" t="s">
        <v>37</v>
      </c>
      <c r="I2179" s="3439" t="s">
        <v>18</v>
      </c>
      <c r="J2179" s="3" t="s">
        <v>19</v>
      </c>
      <c r="K2179" s="3"/>
    </row>
    <row r="2180" spans="1:11" ht="43.2" x14ac:dyDescent="0.3">
      <c r="A2180" s="3" t="s">
        <v>4489</v>
      </c>
      <c r="B2180" s="3" t="str">
        <f>"034380055"</f>
        <v>034380055</v>
      </c>
      <c r="C2180" s="3" t="s">
        <v>1629</v>
      </c>
      <c r="D2180" s="3" t="s">
        <v>4491</v>
      </c>
      <c r="E2180" s="3" t="s">
        <v>3421</v>
      </c>
      <c r="F2180" s="2">
        <v>42308</v>
      </c>
      <c r="G2180" s="2"/>
      <c r="H2180" s="3440" t="s">
        <v>37</v>
      </c>
      <c r="I2180" s="3441" t="s">
        <v>18</v>
      </c>
      <c r="J2180" s="3" t="s">
        <v>19</v>
      </c>
      <c r="K2180" s="3"/>
    </row>
    <row r="2181" spans="1:11" ht="43.2" x14ac:dyDescent="0.3">
      <c r="A2181" s="3" t="s">
        <v>4489</v>
      </c>
      <c r="B2181" s="3" t="str">
        <f>"034380093"</f>
        <v>034380093</v>
      </c>
      <c r="C2181" s="3" t="s">
        <v>1629</v>
      </c>
      <c r="D2181" s="3" t="s">
        <v>4492</v>
      </c>
      <c r="E2181" s="3" t="s">
        <v>3421</v>
      </c>
      <c r="F2181" s="2">
        <v>44105</v>
      </c>
      <c r="G2181" s="2"/>
      <c r="H2181" s="3442" t="s">
        <v>17</v>
      </c>
      <c r="I2181" s="3443" t="s">
        <v>18</v>
      </c>
      <c r="J2181" s="3" t="s">
        <v>19</v>
      </c>
      <c r="K2181" s="3"/>
    </row>
    <row r="2182" spans="1:11" ht="43.2" x14ac:dyDescent="0.3">
      <c r="A2182" s="3" t="s">
        <v>4493</v>
      </c>
      <c r="B2182" s="3" t="str">
        <f>"012745129"</f>
        <v>012745129</v>
      </c>
      <c r="C2182" s="3" t="s">
        <v>3014</v>
      </c>
      <c r="D2182" s="3" t="s">
        <v>4494</v>
      </c>
      <c r="E2182" s="3" t="s">
        <v>1353</v>
      </c>
      <c r="F2182" s="2">
        <v>43070</v>
      </c>
      <c r="G2182" s="2"/>
      <c r="H2182" s="3444" t="s">
        <v>37</v>
      </c>
      <c r="I2182" s="3445" t="s">
        <v>32</v>
      </c>
      <c r="J2182" s="3" t="s">
        <v>19</v>
      </c>
      <c r="K2182" s="3"/>
    </row>
    <row r="2183" spans="1:11" ht="43.2" x14ac:dyDescent="0.3">
      <c r="A2183" s="3" t="s">
        <v>4495</v>
      </c>
      <c r="B2183" s="3" t="str">
        <f>"036813020"</f>
        <v>036813020</v>
      </c>
      <c r="C2183" s="3" t="s">
        <v>3014</v>
      </c>
      <c r="D2183" s="3" t="s">
        <v>4496</v>
      </c>
      <c r="E2183" s="3" t="s">
        <v>1353</v>
      </c>
      <c r="F2183" s="2">
        <v>43504</v>
      </c>
      <c r="G2183" s="2"/>
      <c r="H2183" s="3446" t="s">
        <v>17</v>
      </c>
      <c r="I2183" s="3" t="s">
        <v>782</v>
      </c>
      <c r="J2183" s="3" t="s">
        <v>19</v>
      </c>
      <c r="K2183" s="3"/>
    </row>
    <row r="2184" spans="1:11" ht="43.2" x14ac:dyDescent="0.3">
      <c r="A2184" s="3" t="s">
        <v>4497</v>
      </c>
      <c r="B2184" s="3" t="str">
        <f>"036260026"</f>
        <v>036260026</v>
      </c>
      <c r="C2184" s="3" t="s">
        <v>3293</v>
      </c>
      <c r="D2184" s="3" t="s">
        <v>4498</v>
      </c>
      <c r="E2184" s="3" t="s">
        <v>126</v>
      </c>
      <c r="F2184" s="2">
        <v>43252</v>
      </c>
      <c r="G2184" s="2"/>
      <c r="H2184" s="3447" t="s">
        <v>17</v>
      </c>
      <c r="I2184" s="3448" t="s">
        <v>32</v>
      </c>
      <c r="J2184" s="3" t="s">
        <v>19</v>
      </c>
      <c r="K2184" s="3"/>
    </row>
    <row r="2185" spans="1:11" ht="72" x14ac:dyDescent="0.3">
      <c r="A2185" s="3" t="s">
        <v>4499</v>
      </c>
      <c r="B2185" s="3" t="str">
        <f>"027154032"</f>
        <v>027154032</v>
      </c>
      <c r="C2185" s="3" t="s">
        <v>2320</v>
      </c>
      <c r="D2185" s="3" t="s">
        <v>4500</v>
      </c>
      <c r="E2185" s="3" t="s">
        <v>1772</v>
      </c>
      <c r="F2185" s="2">
        <v>43474</v>
      </c>
      <c r="G2185" s="2"/>
      <c r="H2185" s="3449" t="s">
        <v>17</v>
      </c>
      <c r="I2185" s="3450" t="s">
        <v>1773</v>
      </c>
      <c r="J2185" s="3" t="s">
        <v>156</v>
      </c>
      <c r="K2185" s="3"/>
    </row>
    <row r="2186" spans="1:11" ht="72" x14ac:dyDescent="0.3">
      <c r="A2186" s="3" t="s">
        <v>4499</v>
      </c>
      <c r="B2186" s="3" t="str">
        <f>"027154044"</f>
        <v>027154044</v>
      </c>
      <c r="C2186" s="3" t="s">
        <v>2320</v>
      </c>
      <c r="D2186" s="3" t="s">
        <v>4501</v>
      </c>
      <c r="E2186" s="3" t="s">
        <v>1772</v>
      </c>
      <c r="F2186" s="2">
        <v>43474</v>
      </c>
      <c r="G2186" s="2"/>
      <c r="H2186" s="3451" t="s">
        <v>17</v>
      </c>
      <c r="I2186" s="3452" t="s">
        <v>1773</v>
      </c>
      <c r="J2186" s="3" t="s">
        <v>156</v>
      </c>
      <c r="K2186" s="3"/>
    </row>
    <row r="2187" spans="1:11" ht="72" x14ac:dyDescent="0.3">
      <c r="A2187" s="3" t="s">
        <v>4499</v>
      </c>
      <c r="B2187" s="3" t="str">
        <f>"027154057"</f>
        <v>027154057</v>
      </c>
      <c r="C2187" s="3" t="s">
        <v>2320</v>
      </c>
      <c r="D2187" s="3" t="s">
        <v>4502</v>
      </c>
      <c r="E2187" s="3" t="s">
        <v>1772</v>
      </c>
      <c r="F2187" s="2">
        <v>43474</v>
      </c>
      <c r="G2187" s="2"/>
      <c r="H2187" s="3453" t="s">
        <v>37</v>
      </c>
      <c r="I2187" s="3454" t="s">
        <v>1773</v>
      </c>
      <c r="J2187" s="3" t="s">
        <v>156</v>
      </c>
      <c r="K2187" s="3"/>
    </row>
    <row r="2188" spans="1:11" ht="43.2" x14ac:dyDescent="0.3">
      <c r="A2188" s="3" t="s">
        <v>4503</v>
      </c>
      <c r="B2188" s="3" t="str">
        <f>"043274024"</f>
        <v>043274024</v>
      </c>
      <c r="C2188" s="3" t="s">
        <v>4504</v>
      </c>
      <c r="D2188" s="3" t="s">
        <v>4505</v>
      </c>
      <c r="E2188" s="3" t="s">
        <v>27</v>
      </c>
      <c r="F2188" s="2">
        <v>44008</v>
      </c>
      <c r="G2188" s="2">
        <v>44074</v>
      </c>
      <c r="H2188" s="3455" t="s">
        <v>17</v>
      </c>
      <c r="I2188" s="3" t="s">
        <v>104</v>
      </c>
      <c r="J2188" s="3" t="s">
        <v>19</v>
      </c>
      <c r="K2188" s="3"/>
    </row>
    <row r="2189" spans="1:11" ht="43.2" x14ac:dyDescent="0.3">
      <c r="A2189" s="3" t="s">
        <v>4506</v>
      </c>
      <c r="B2189" s="3" t="str">
        <f>"045020029"</f>
        <v>045020029</v>
      </c>
      <c r="C2189" s="3" t="s">
        <v>4504</v>
      </c>
      <c r="D2189" s="3" t="s">
        <v>4507</v>
      </c>
      <c r="E2189" s="3" t="s">
        <v>99</v>
      </c>
      <c r="F2189" s="2">
        <v>44012</v>
      </c>
      <c r="G2189" s="2">
        <v>44104</v>
      </c>
      <c r="H2189" s="3456" t="s">
        <v>17</v>
      </c>
      <c r="I2189" s="3" t="s">
        <v>41</v>
      </c>
      <c r="J2189" s="3" t="s">
        <v>19</v>
      </c>
      <c r="K2189" s="3"/>
    </row>
    <row r="2190" spans="1:11" ht="43.2" x14ac:dyDescent="0.3">
      <c r="A2190" s="3" t="s">
        <v>4506</v>
      </c>
      <c r="B2190" s="3" t="str">
        <f>"045020031"</f>
        <v>045020031</v>
      </c>
      <c r="C2190" s="3" t="s">
        <v>4504</v>
      </c>
      <c r="D2190" s="3" t="s">
        <v>4508</v>
      </c>
      <c r="E2190" s="3" t="s">
        <v>99</v>
      </c>
      <c r="F2190" s="2">
        <v>44228</v>
      </c>
      <c r="G2190" s="2">
        <v>44377</v>
      </c>
      <c r="H2190" s="3457" t="s">
        <v>17</v>
      </c>
      <c r="I2190" s="3" t="s">
        <v>41</v>
      </c>
      <c r="J2190" s="3" t="s">
        <v>19</v>
      </c>
      <c r="K2190" s="3"/>
    </row>
    <row r="2191" spans="1:11" ht="43.2" x14ac:dyDescent="0.3">
      <c r="A2191" s="3" t="s">
        <v>4506</v>
      </c>
      <c r="B2191" s="3" t="str">
        <f>"045020056"</f>
        <v>045020056</v>
      </c>
      <c r="C2191" s="3" t="s">
        <v>4504</v>
      </c>
      <c r="D2191" s="3" t="s">
        <v>4509</v>
      </c>
      <c r="E2191" s="3" t="s">
        <v>99</v>
      </c>
      <c r="F2191" s="2">
        <v>44039</v>
      </c>
      <c r="G2191" s="2">
        <v>44104</v>
      </c>
      <c r="H2191" s="3458" t="s">
        <v>17</v>
      </c>
      <c r="I2191" s="3" t="s">
        <v>41</v>
      </c>
      <c r="J2191" s="3" t="s">
        <v>19</v>
      </c>
      <c r="K2191" s="3"/>
    </row>
    <row r="2192" spans="1:11" ht="43.2" x14ac:dyDescent="0.3">
      <c r="A2192" s="3" t="s">
        <v>4506</v>
      </c>
      <c r="B2192" s="3" t="str">
        <f>"045020068"</f>
        <v>045020068</v>
      </c>
      <c r="C2192" s="3" t="s">
        <v>4504</v>
      </c>
      <c r="D2192" s="3" t="s">
        <v>4510</v>
      </c>
      <c r="E2192" s="3" t="s">
        <v>99</v>
      </c>
      <c r="F2192" s="2">
        <v>44228</v>
      </c>
      <c r="G2192" s="2">
        <v>44377</v>
      </c>
      <c r="H2192" s="3459" t="s">
        <v>17</v>
      </c>
      <c r="I2192" s="3" t="s">
        <v>41</v>
      </c>
      <c r="J2192" s="3" t="s">
        <v>19</v>
      </c>
      <c r="K2192" s="3"/>
    </row>
    <row r="2193" spans="1:11" ht="43.2" x14ac:dyDescent="0.3">
      <c r="A2193" s="3" t="s">
        <v>4511</v>
      </c>
      <c r="B2193" s="3" t="str">
        <f>"044064057"</f>
        <v>044064057</v>
      </c>
      <c r="C2193" s="3" t="s">
        <v>4512</v>
      </c>
      <c r="D2193" s="3" t="s">
        <v>4513</v>
      </c>
      <c r="E2193" s="3" t="s">
        <v>207</v>
      </c>
      <c r="F2193" s="2">
        <v>44127</v>
      </c>
      <c r="G2193" s="2"/>
      <c r="H2193" s="3460" t="s">
        <v>17</v>
      </c>
      <c r="I2193" s="3" t="s">
        <v>41</v>
      </c>
      <c r="J2193" s="3" t="s">
        <v>19</v>
      </c>
      <c r="K2193" s="3"/>
    </row>
    <row r="2194" spans="1:11" ht="43.2" x14ac:dyDescent="0.3">
      <c r="A2194" s="3" t="s">
        <v>4514</v>
      </c>
      <c r="B2194" s="3" t="str">
        <f>"030822023"</f>
        <v>030822023</v>
      </c>
      <c r="C2194" s="3" t="s">
        <v>4515</v>
      </c>
      <c r="D2194" s="3" t="s">
        <v>4516</v>
      </c>
      <c r="E2194" s="3" t="s">
        <v>438</v>
      </c>
      <c r="F2194" s="2">
        <v>41255</v>
      </c>
      <c r="G2194" s="2"/>
      <c r="H2194" s="3461" t="s">
        <v>37</v>
      </c>
      <c r="I2194" s="3462" t="s">
        <v>18</v>
      </c>
      <c r="J2194" s="3" t="s">
        <v>19</v>
      </c>
      <c r="K2194" s="3"/>
    </row>
    <row r="2195" spans="1:11" ht="57.6" x14ac:dyDescent="0.3">
      <c r="A2195" s="3" t="s">
        <v>4517</v>
      </c>
      <c r="B2195" s="3" t="str">
        <f>"044863037"</f>
        <v>044863037</v>
      </c>
      <c r="C2195" s="3" t="s">
        <v>4518</v>
      </c>
      <c r="D2195" s="3" t="s">
        <v>4519</v>
      </c>
      <c r="E2195" s="3" t="s">
        <v>420</v>
      </c>
      <c r="F2195" s="2">
        <v>44039</v>
      </c>
      <c r="G2195" s="2"/>
      <c r="H2195" s="3463" t="s">
        <v>17</v>
      </c>
      <c r="I2195" s="3464" t="s">
        <v>18</v>
      </c>
      <c r="J2195" s="3" t="s">
        <v>19</v>
      </c>
      <c r="K2195" s="3"/>
    </row>
    <row r="2196" spans="1:11" ht="57.6" x14ac:dyDescent="0.3">
      <c r="A2196" s="3" t="s">
        <v>4517</v>
      </c>
      <c r="B2196" s="3" t="str">
        <f>"044863064"</f>
        <v>044863064</v>
      </c>
      <c r="C2196" s="3" t="s">
        <v>4518</v>
      </c>
      <c r="D2196" s="3" t="s">
        <v>4520</v>
      </c>
      <c r="E2196" s="3" t="s">
        <v>420</v>
      </c>
      <c r="F2196" s="2">
        <v>43781</v>
      </c>
      <c r="G2196" s="2"/>
      <c r="H2196" s="3465" t="s">
        <v>17</v>
      </c>
      <c r="I2196" s="3466" t="s">
        <v>18</v>
      </c>
      <c r="J2196" s="3" t="s">
        <v>19</v>
      </c>
      <c r="K2196" s="3"/>
    </row>
    <row r="2197" spans="1:11" ht="43.2" x14ac:dyDescent="0.3">
      <c r="A2197" s="3" t="s">
        <v>4521</v>
      </c>
      <c r="B2197" s="3" t="str">
        <f>"021528157"</f>
        <v>021528157</v>
      </c>
      <c r="C2197" s="3" t="s">
        <v>4522</v>
      </c>
      <c r="D2197" s="3" t="s">
        <v>4523</v>
      </c>
      <c r="E2197" s="3" t="s">
        <v>412</v>
      </c>
      <c r="F2197" s="2">
        <v>44166</v>
      </c>
      <c r="G2197" s="2">
        <v>44377</v>
      </c>
      <c r="H2197" s="3467" t="s">
        <v>37</v>
      </c>
      <c r="I2197" s="3468" t="s">
        <v>32</v>
      </c>
      <c r="J2197" s="3" t="s">
        <v>19</v>
      </c>
      <c r="K2197" s="3"/>
    </row>
    <row r="2198" spans="1:11" ht="43.2" x14ac:dyDescent="0.3">
      <c r="A2198" s="3" t="s">
        <v>4524</v>
      </c>
      <c r="B2198" s="3" t="str">
        <f>"035943024"</f>
        <v>035943024</v>
      </c>
      <c r="C2198" s="3" t="s">
        <v>4525</v>
      </c>
      <c r="D2198" s="3" t="s">
        <v>4526</v>
      </c>
      <c r="E2198" s="3" t="s">
        <v>1784</v>
      </c>
      <c r="F2198" s="2">
        <v>41386</v>
      </c>
      <c r="G2198" s="2"/>
      <c r="H2198" s="3469" t="s">
        <v>37</v>
      </c>
      <c r="I2198" s="3470" t="s">
        <v>18</v>
      </c>
      <c r="J2198" s="3" t="s">
        <v>19</v>
      </c>
      <c r="K2198" s="3"/>
    </row>
    <row r="2199" spans="1:11" ht="57.6" x14ac:dyDescent="0.3">
      <c r="A2199" s="3" t="s">
        <v>4527</v>
      </c>
      <c r="B2199" s="3" t="str">
        <f>"034790016"</f>
        <v>034790016</v>
      </c>
      <c r="C2199" s="3" t="s">
        <v>3396</v>
      </c>
      <c r="D2199" s="3" t="s">
        <v>4528</v>
      </c>
      <c r="E2199" s="3" t="s">
        <v>147</v>
      </c>
      <c r="F2199" s="2">
        <v>42991</v>
      </c>
      <c r="G2199" s="2"/>
      <c r="H2199" s="3471" t="s">
        <v>17</v>
      </c>
      <c r="I2199" s="3" t="s">
        <v>41</v>
      </c>
      <c r="J2199" s="3" t="s">
        <v>19</v>
      </c>
      <c r="K2199" s="3"/>
    </row>
    <row r="2200" spans="1:11" ht="43.2" x14ac:dyDescent="0.3">
      <c r="A2200" s="3" t="s">
        <v>4529</v>
      </c>
      <c r="B2200" s="3" t="str">
        <f>"028821027"</f>
        <v>028821027</v>
      </c>
      <c r="C2200" s="3" t="s">
        <v>2109</v>
      </c>
      <c r="D2200" s="3" t="s">
        <v>4530</v>
      </c>
      <c r="E2200" s="3" t="s">
        <v>1353</v>
      </c>
      <c r="F2200" s="2">
        <v>44196</v>
      </c>
      <c r="G2200" s="2">
        <v>44256</v>
      </c>
      <c r="H2200" s="3472" t="s">
        <v>37</v>
      </c>
      <c r="I2200" s="3473" t="s">
        <v>32</v>
      </c>
      <c r="J2200" s="3" t="s">
        <v>19</v>
      </c>
      <c r="K2200" s="3"/>
    </row>
    <row r="2201" spans="1:11" ht="43.2" x14ac:dyDescent="0.3">
      <c r="A2201" s="3" t="s">
        <v>4531</v>
      </c>
      <c r="B2201" s="3" t="str">
        <f>"026973014"</f>
        <v>026973014</v>
      </c>
      <c r="C2201" s="3" t="s">
        <v>1351</v>
      </c>
      <c r="D2201" s="3" t="s">
        <v>1352</v>
      </c>
      <c r="E2201" s="3" t="s">
        <v>425</v>
      </c>
      <c r="F2201" s="2">
        <v>43270</v>
      </c>
      <c r="G2201" s="2"/>
      <c r="H2201" s="3474" t="s">
        <v>17</v>
      </c>
      <c r="I2201" s="3475" t="s">
        <v>18</v>
      </c>
      <c r="J2201" s="3" t="s">
        <v>19</v>
      </c>
      <c r="K2201" s="3"/>
    </row>
    <row r="2202" spans="1:11" ht="43.2" x14ac:dyDescent="0.3">
      <c r="A2202" s="3" t="s">
        <v>4532</v>
      </c>
      <c r="B2202" s="3" t="str">
        <f>"024263016"</f>
        <v>024263016</v>
      </c>
      <c r="C2202" s="3" t="s">
        <v>4533</v>
      </c>
      <c r="D2202" s="3" t="s">
        <v>4534</v>
      </c>
      <c r="E2202" s="3" t="s">
        <v>161</v>
      </c>
      <c r="F2202" s="2">
        <v>44150</v>
      </c>
      <c r="G2202" s="2"/>
      <c r="H2202" s="3476" t="s">
        <v>37</v>
      </c>
      <c r="I2202" s="3477" t="s">
        <v>18</v>
      </c>
      <c r="J2202" s="3" t="s">
        <v>19</v>
      </c>
      <c r="K2202" s="3"/>
    </row>
    <row r="2203" spans="1:11" ht="43.2" x14ac:dyDescent="0.3">
      <c r="A2203" s="3" t="s">
        <v>4532</v>
      </c>
      <c r="B2203" s="3" t="str">
        <f>"024263028"</f>
        <v>024263028</v>
      </c>
      <c r="C2203" s="3" t="s">
        <v>4533</v>
      </c>
      <c r="D2203" s="3" t="s">
        <v>4535</v>
      </c>
      <c r="E2203" s="3" t="s">
        <v>161</v>
      </c>
      <c r="F2203" s="2">
        <v>42646</v>
      </c>
      <c r="G2203" s="2"/>
      <c r="H2203" s="3478" t="s">
        <v>37</v>
      </c>
      <c r="I2203" s="3479" t="s">
        <v>18</v>
      </c>
      <c r="J2203" s="3" t="s">
        <v>19</v>
      </c>
      <c r="K2203" s="3"/>
    </row>
    <row r="2204" spans="1:11" ht="57.6" x14ac:dyDescent="0.3">
      <c r="A2204" s="3" t="s">
        <v>4536</v>
      </c>
      <c r="B2204" s="3" t="str">
        <f>"040123010"</f>
        <v>040123010</v>
      </c>
      <c r="C2204" s="3" t="s">
        <v>1514</v>
      </c>
      <c r="D2204" s="3" t="s">
        <v>4537</v>
      </c>
      <c r="E2204" s="3" t="s">
        <v>927</v>
      </c>
      <c r="F2204" s="2">
        <v>43922</v>
      </c>
      <c r="G2204" s="2">
        <v>44166</v>
      </c>
      <c r="H2204" s="3480" t="s">
        <v>17</v>
      </c>
      <c r="I2204" s="3" t="s">
        <v>41</v>
      </c>
      <c r="J2204" s="3" t="s">
        <v>19</v>
      </c>
      <c r="K2204" s="3"/>
    </row>
    <row r="2205" spans="1:11" ht="57.6" x14ac:dyDescent="0.3">
      <c r="A2205" s="3" t="s">
        <v>4536</v>
      </c>
      <c r="B2205" s="3" t="str">
        <f>"040123022"</f>
        <v>040123022</v>
      </c>
      <c r="C2205" s="3" t="s">
        <v>1514</v>
      </c>
      <c r="D2205" s="3" t="s">
        <v>4538</v>
      </c>
      <c r="E2205" s="3" t="s">
        <v>927</v>
      </c>
      <c r="F2205" s="2">
        <v>44075</v>
      </c>
      <c r="G2205" s="2"/>
      <c r="H2205" s="3481" t="s">
        <v>17</v>
      </c>
      <c r="I2205" s="3482" t="s">
        <v>18</v>
      </c>
      <c r="J2205" s="3" t="s">
        <v>19</v>
      </c>
      <c r="K2205" s="3"/>
    </row>
    <row r="2206" spans="1:11" ht="57.6" x14ac:dyDescent="0.3">
      <c r="A2206" s="3" t="s">
        <v>4536</v>
      </c>
      <c r="B2206" s="3" t="str">
        <f>"040123034"</f>
        <v>040123034</v>
      </c>
      <c r="C2206" s="3" t="s">
        <v>1514</v>
      </c>
      <c r="D2206" s="3" t="s">
        <v>4539</v>
      </c>
      <c r="E2206" s="3" t="s">
        <v>927</v>
      </c>
      <c r="F2206" s="2">
        <v>44075</v>
      </c>
      <c r="G2206" s="2"/>
      <c r="H2206" s="3483" t="s">
        <v>17</v>
      </c>
      <c r="I2206" s="3484" t="s">
        <v>18</v>
      </c>
      <c r="J2206" s="3" t="s">
        <v>19</v>
      </c>
      <c r="K2206" s="3"/>
    </row>
    <row r="2207" spans="1:11" ht="43.2" x14ac:dyDescent="0.3">
      <c r="A2207" s="3" t="s">
        <v>4540</v>
      </c>
      <c r="B2207" s="3" t="str">
        <f>"028848036"</f>
        <v>028848036</v>
      </c>
      <c r="C2207" s="3" t="s">
        <v>470</v>
      </c>
      <c r="D2207" s="3" t="s">
        <v>4541</v>
      </c>
      <c r="E2207" s="3" t="s">
        <v>2625</v>
      </c>
      <c r="F2207" s="2">
        <v>42004</v>
      </c>
      <c r="G2207" s="2"/>
      <c r="H2207" s="3485" t="s">
        <v>17</v>
      </c>
      <c r="I2207" s="3486" t="s">
        <v>18</v>
      </c>
      <c r="J2207" s="3" t="s">
        <v>19</v>
      </c>
      <c r="K2207" s="3"/>
    </row>
    <row r="2208" spans="1:11" ht="43.2" x14ac:dyDescent="0.3">
      <c r="A2208" s="3" t="s">
        <v>4540</v>
      </c>
      <c r="B2208" s="3" t="str">
        <f>"028848012"</f>
        <v>028848012</v>
      </c>
      <c r="C2208" s="3" t="s">
        <v>470</v>
      </c>
      <c r="D2208" s="3" t="s">
        <v>4542</v>
      </c>
      <c r="E2208" s="3" t="s">
        <v>2625</v>
      </c>
      <c r="F2208" s="2">
        <v>42004</v>
      </c>
      <c r="G2208" s="2"/>
      <c r="H2208" s="3487" t="s">
        <v>17</v>
      </c>
      <c r="I2208" s="3488" t="s">
        <v>18</v>
      </c>
      <c r="J2208" s="3" t="s">
        <v>19</v>
      </c>
      <c r="K2208" s="3"/>
    </row>
    <row r="2209" spans="1:11" ht="43.2" x14ac:dyDescent="0.3">
      <c r="A2209" s="3" t="s">
        <v>4540</v>
      </c>
      <c r="B2209" s="3" t="str">
        <f>"028848024"</f>
        <v>028848024</v>
      </c>
      <c r="C2209" s="3" t="s">
        <v>470</v>
      </c>
      <c r="D2209" s="3" t="s">
        <v>4543</v>
      </c>
      <c r="E2209" s="3" t="s">
        <v>2625</v>
      </c>
      <c r="F2209" s="2">
        <v>42004</v>
      </c>
      <c r="G2209" s="2"/>
      <c r="H2209" s="3489" t="s">
        <v>17</v>
      </c>
      <c r="I2209" s="3490" t="s">
        <v>18</v>
      </c>
      <c r="J2209" s="3" t="s">
        <v>19</v>
      </c>
      <c r="K2209" s="3"/>
    </row>
    <row r="2210" spans="1:11" ht="43.2" x14ac:dyDescent="0.3">
      <c r="A2210" s="3" t="s">
        <v>4544</v>
      </c>
      <c r="B2210" s="3" t="str">
        <f>"032391017"</f>
        <v>032391017</v>
      </c>
      <c r="C2210" s="3" t="s">
        <v>1514</v>
      </c>
      <c r="D2210" s="3" t="s">
        <v>4545</v>
      </c>
      <c r="E2210" s="3" t="s">
        <v>4139</v>
      </c>
      <c r="F2210" s="2">
        <v>43101</v>
      </c>
      <c r="G2210" s="2"/>
      <c r="H2210" s="3491" t="s">
        <v>37</v>
      </c>
      <c r="I2210" s="3492" t="s">
        <v>18</v>
      </c>
      <c r="J2210" s="3" t="s">
        <v>19</v>
      </c>
      <c r="K2210" s="3"/>
    </row>
    <row r="2211" spans="1:11" ht="43.2" x14ac:dyDescent="0.3">
      <c r="A2211" s="3" t="s">
        <v>4544</v>
      </c>
      <c r="B2211" s="3" t="str">
        <f>"032391029"</f>
        <v>032391029</v>
      </c>
      <c r="C2211" s="3" t="s">
        <v>1514</v>
      </c>
      <c r="D2211" s="3" t="s">
        <v>4546</v>
      </c>
      <c r="E2211" s="3" t="s">
        <v>4139</v>
      </c>
      <c r="F2211" s="2">
        <v>43101</v>
      </c>
      <c r="G2211" s="2"/>
      <c r="H2211" s="3493" t="s">
        <v>37</v>
      </c>
      <c r="I2211" s="3494" t="s">
        <v>18</v>
      </c>
      <c r="J2211" s="3" t="s">
        <v>19</v>
      </c>
      <c r="K2211" s="3"/>
    </row>
    <row r="2212" spans="1:11" ht="86.4" x14ac:dyDescent="0.3">
      <c r="A2212" s="3" t="s">
        <v>4547</v>
      </c>
      <c r="B2212" s="3" t="str">
        <f>"028249023"</f>
        <v>028249023</v>
      </c>
      <c r="C2212" s="3" t="s">
        <v>3743</v>
      </c>
      <c r="D2212" s="3" t="s">
        <v>4548</v>
      </c>
      <c r="E2212" s="3" t="s">
        <v>412</v>
      </c>
      <c r="F2212" s="2">
        <v>43139</v>
      </c>
      <c r="G2212" s="2"/>
      <c r="H2212" s="3495" t="s">
        <v>17</v>
      </c>
      <c r="I2212" s="3496" t="s">
        <v>18</v>
      </c>
      <c r="J2212" s="3" t="s">
        <v>156</v>
      </c>
      <c r="K2212" s="3"/>
    </row>
    <row r="2213" spans="1:11" ht="57.6" x14ac:dyDescent="0.3">
      <c r="A2213" s="3" t="s">
        <v>4547</v>
      </c>
      <c r="B2213" s="3" t="str">
        <f>"028249050"</f>
        <v>028249050</v>
      </c>
      <c r="C2213" s="3" t="s">
        <v>3743</v>
      </c>
      <c r="D2213" s="3" t="s">
        <v>4549</v>
      </c>
      <c r="E2213" s="3" t="s">
        <v>412</v>
      </c>
      <c r="F2213" s="2">
        <v>43139</v>
      </c>
      <c r="G2213" s="2"/>
      <c r="H2213" s="3497" t="s">
        <v>17</v>
      </c>
      <c r="I2213" s="3498" t="s">
        <v>18</v>
      </c>
      <c r="J2213" s="3" t="s">
        <v>156</v>
      </c>
      <c r="K2213" s="3"/>
    </row>
    <row r="2214" spans="1:11" ht="57.6" x14ac:dyDescent="0.3">
      <c r="A2214" s="3" t="s">
        <v>4547</v>
      </c>
      <c r="B2214" s="3" t="str">
        <f>"028249062"</f>
        <v>028249062</v>
      </c>
      <c r="C2214" s="3" t="s">
        <v>3743</v>
      </c>
      <c r="D2214" s="3" t="s">
        <v>4550</v>
      </c>
      <c r="E2214" s="3" t="s">
        <v>412</v>
      </c>
      <c r="F2214" s="2">
        <v>43139</v>
      </c>
      <c r="G2214" s="2"/>
      <c r="H2214" s="3499" t="s">
        <v>17</v>
      </c>
      <c r="I2214" s="3500" t="s">
        <v>18</v>
      </c>
      <c r="J2214" s="3" t="s">
        <v>156</v>
      </c>
      <c r="K2214" s="3"/>
    </row>
    <row r="2215" spans="1:11" ht="43.2" x14ac:dyDescent="0.3">
      <c r="A2215" s="3" t="s">
        <v>4551</v>
      </c>
      <c r="B2215" s="3" t="str">
        <f>"041007129"</f>
        <v>041007129</v>
      </c>
      <c r="C2215" s="3" t="s">
        <v>3893</v>
      </c>
      <c r="D2215" s="3" t="s">
        <v>4552</v>
      </c>
      <c r="E2215" s="3" t="s">
        <v>112</v>
      </c>
      <c r="F2215" s="2">
        <v>43483</v>
      </c>
      <c r="G2215" s="2"/>
      <c r="H2215" s="3501" t="s">
        <v>17</v>
      </c>
      <c r="I2215" s="3" t="s">
        <v>41</v>
      </c>
      <c r="J2215" s="3" t="s">
        <v>19</v>
      </c>
      <c r="K2215" s="3"/>
    </row>
    <row r="2216" spans="1:11" ht="43.2" x14ac:dyDescent="0.3">
      <c r="A2216" s="3" t="s">
        <v>4551</v>
      </c>
      <c r="B2216" s="3" t="str">
        <f>"041007220"</f>
        <v>041007220</v>
      </c>
      <c r="C2216" s="3" t="s">
        <v>3893</v>
      </c>
      <c r="D2216" s="3" t="s">
        <v>4553</v>
      </c>
      <c r="E2216" s="3" t="s">
        <v>112</v>
      </c>
      <c r="F2216" s="2">
        <v>43634</v>
      </c>
      <c r="G2216" s="2"/>
      <c r="H2216" s="3502" t="s">
        <v>17</v>
      </c>
      <c r="I2216" s="3" t="s">
        <v>41</v>
      </c>
      <c r="J2216" s="3" t="s">
        <v>19</v>
      </c>
      <c r="K2216" s="3"/>
    </row>
    <row r="2217" spans="1:11" ht="57.6" x14ac:dyDescent="0.3">
      <c r="A2217" s="3" t="s">
        <v>4554</v>
      </c>
      <c r="B2217" s="3" t="str">
        <f>"042698011"</f>
        <v>042698011</v>
      </c>
      <c r="C2217" s="3" t="s">
        <v>4555</v>
      </c>
      <c r="D2217" s="3" t="s">
        <v>4556</v>
      </c>
      <c r="E2217" s="3" t="s">
        <v>263</v>
      </c>
      <c r="F2217" s="2">
        <v>43921</v>
      </c>
      <c r="G2217" s="2"/>
      <c r="H2217" s="3503" t="s">
        <v>17</v>
      </c>
      <c r="I2217" s="3504" t="s">
        <v>18</v>
      </c>
      <c r="J2217" s="3" t="s">
        <v>19</v>
      </c>
      <c r="K2217" s="3"/>
    </row>
    <row r="2218" spans="1:11" ht="57.6" x14ac:dyDescent="0.3">
      <c r="A2218" s="3" t="s">
        <v>4554</v>
      </c>
      <c r="B2218" s="3" t="str">
        <f>"042698023"</f>
        <v>042698023</v>
      </c>
      <c r="C2218" s="3" t="s">
        <v>4555</v>
      </c>
      <c r="D2218" s="3" t="s">
        <v>4557</v>
      </c>
      <c r="E2218" s="3" t="s">
        <v>263</v>
      </c>
      <c r="F2218" s="2">
        <v>43769</v>
      </c>
      <c r="G2218" s="2"/>
      <c r="H2218" s="3505" t="s">
        <v>17</v>
      </c>
      <c r="I2218" s="3506" t="s">
        <v>18</v>
      </c>
      <c r="J2218" s="3" t="s">
        <v>19</v>
      </c>
      <c r="K2218" s="3"/>
    </row>
    <row r="2219" spans="1:11" ht="43.2" x14ac:dyDescent="0.3">
      <c r="A2219" s="3" t="s">
        <v>4558</v>
      </c>
      <c r="B2219" s="3" t="str">
        <f>"041183118"</f>
        <v>041183118</v>
      </c>
      <c r="C2219" s="3" t="s">
        <v>3893</v>
      </c>
      <c r="D2219" s="3" t="s">
        <v>2671</v>
      </c>
      <c r="E2219" s="3" t="s">
        <v>24</v>
      </c>
      <c r="F2219" s="2">
        <v>43770</v>
      </c>
      <c r="G2219" s="2">
        <v>43921</v>
      </c>
      <c r="H2219" s="3507" t="s">
        <v>17</v>
      </c>
      <c r="I2219" s="3" t="s">
        <v>41</v>
      </c>
      <c r="J2219" s="3" t="s">
        <v>19</v>
      </c>
      <c r="K2219" s="3"/>
    </row>
    <row r="2220" spans="1:11" ht="43.2" x14ac:dyDescent="0.3">
      <c r="A2220" s="3" t="s">
        <v>4559</v>
      </c>
      <c r="B2220" s="3" t="str">
        <f>"040121028"</f>
        <v>040121028</v>
      </c>
      <c r="C2220" s="3" t="s">
        <v>3893</v>
      </c>
      <c r="D2220" s="3" t="s">
        <v>4560</v>
      </c>
      <c r="E2220" s="3" t="s">
        <v>56</v>
      </c>
      <c r="F2220" s="2">
        <v>44049</v>
      </c>
      <c r="G2220" s="2">
        <v>44127</v>
      </c>
      <c r="H2220" s="3508" t="s">
        <v>17</v>
      </c>
      <c r="I2220" s="3" t="s">
        <v>41</v>
      </c>
      <c r="J2220" s="3" t="s">
        <v>19</v>
      </c>
      <c r="K2220" s="3"/>
    </row>
    <row r="2221" spans="1:11" ht="43.2" x14ac:dyDescent="0.3">
      <c r="A2221" s="3" t="s">
        <v>4561</v>
      </c>
      <c r="B2221" s="3" t="str">
        <f>"042279024"</f>
        <v>042279024</v>
      </c>
      <c r="C2221" s="3" t="s">
        <v>3893</v>
      </c>
      <c r="D2221" s="3" t="s">
        <v>4562</v>
      </c>
      <c r="E2221" s="3" t="s">
        <v>1679</v>
      </c>
      <c r="F2221" s="2">
        <v>43922</v>
      </c>
      <c r="G2221" s="2"/>
      <c r="H2221" s="3509" t="s">
        <v>17</v>
      </c>
      <c r="I2221" s="3" t="s">
        <v>41</v>
      </c>
      <c r="J2221" s="3" t="s">
        <v>19</v>
      </c>
      <c r="K2221" s="3"/>
    </row>
    <row r="2222" spans="1:11" ht="43.2" x14ac:dyDescent="0.3">
      <c r="A2222" s="3" t="s">
        <v>4561</v>
      </c>
      <c r="B2222" s="3" t="str">
        <f>"042279099"</f>
        <v>042279099</v>
      </c>
      <c r="C2222" s="3" t="s">
        <v>3893</v>
      </c>
      <c r="D2222" s="3" t="s">
        <v>4563</v>
      </c>
      <c r="E2222" s="3" t="s">
        <v>1679</v>
      </c>
      <c r="F2222" s="2">
        <v>43831</v>
      </c>
      <c r="G2222" s="2"/>
      <c r="H2222" s="3510" t="s">
        <v>17</v>
      </c>
      <c r="I2222" s="3" t="s">
        <v>41</v>
      </c>
      <c r="J2222" s="3" t="s">
        <v>19</v>
      </c>
      <c r="K2222" s="3"/>
    </row>
    <row r="2223" spans="1:11" ht="43.2" x14ac:dyDescent="0.3">
      <c r="A2223" s="3" t="s">
        <v>4564</v>
      </c>
      <c r="B2223" s="3" t="str">
        <f>"040926065"</f>
        <v>040926065</v>
      </c>
      <c r="C2223" s="3" t="s">
        <v>3893</v>
      </c>
      <c r="D2223" s="3" t="s">
        <v>4565</v>
      </c>
      <c r="E2223" s="3" t="s">
        <v>107</v>
      </c>
      <c r="F2223" s="2">
        <v>43675</v>
      </c>
      <c r="G2223" s="2"/>
      <c r="H2223" s="3511" t="s">
        <v>17</v>
      </c>
      <c r="I2223" s="3" t="s">
        <v>41</v>
      </c>
      <c r="J2223" s="3" t="s">
        <v>19</v>
      </c>
      <c r="K2223" s="3"/>
    </row>
    <row r="2224" spans="1:11" ht="43.2" x14ac:dyDescent="0.3">
      <c r="A2224" s="3" t="s">
        <v>4566</v>
      </c>
      <c r="B2224" s="3" t="str">
        <f>"041409044"</f>
        <v>041409044</v>
      </c>
      <c r="C2224" s="3" t="s">
        <v>3893</v>
      </c>
      <c r="D2224" s="3" t="s">
        <v>4567</v>
      </c>
      <c r="E2224" s="3" t="s">
        <v>27</v>
      </c>
      <c r="F2224" s="2">
        <v>44075</v>
      </c>
      <c r="G2224" s="2">
        <v>44196</v>
      </c>
      <c r="H2224" s="3512" t="s">
        <v>17</v>
      </c>
      <c r="I2224" s="3" t="s">
        <v>104</v>
      </c>
      <c r="J2224" s="3" t="s">
        <v>19</v>
      </c>
      <c r="K2224" s="3"/>
    </row>
    <row r="2225" spans="1:11" ht="86.4" x14ac:dyDescent="0.3">
      <c r="A2225" s="3" t="s">
        <v>4566</v>
      </c>
      <c r="B2225" s="3" t="str">
        <f>"041409160"</f>
        <v>041409160</v>
      </c>
      <c r="C2225" s="3" t="s">
        <v>3893</v>
      </c>
      <c r="D2225" s="3" t="s">
        <v>4568</v>
      </c>
      <c r="E2225" s="3" t="s">
        <v>27</v>
      </c>
      <c r="F2225" s="2">
        <v>44063</v>
      </c>
      <c r="G2225" s="2">
        <v>44196</v>
      </c>
      <c r="H2225" s="3513" t="s">
        <v>17</v>
      </c>
      <c r="I2225" s="3" t="s">
        <v>41</v>
      </c>
      <c r="J2225" s="3" t="s">
        <v>19</v>
      </c>
      <c r="K2225" s="3" t="s">
        <v>4569</v>
      </c>
    </row>
    <row r="2226" spans="1:11" ht="43.2" x14ac:dyDescent="0.3">
      <c r="A2226" s="3" t="s">
        <v>4566</v>
      </c>
      <c r="B2226" s="3" t="str">
        <f>"041409297"</f>
        <v>041409297</v>
      </c>
      <c r="C2226" s="3" t="s">
        <v>3893</v>
      </c>
      <c r="D2226" s="3" t="s">
        <v>4570</v>
      </c>
      <c r="E2226" s="3" t="s">
        <v>27</v>
      </c>
      <c r="F2226" s="2">
        <v>44150</v>
      </c>
      <c r="G2226" s="2">
        <v>44196</v>
      </c>
      <c r="H2226" s="3514" t="s">
        <v>17</v>
      </c>
      <c r="I2226" s="3" t="s">
        <v>41</v>
      </c>
      <c r="J2226" s="3" t="s">
        <v>19</v>
      </c>
      <c r="K2226" s="3"/>
    </row>
    <row r="2227" spans="1:11" ht="43.2" x14ac:dyDescent="0.3">
      <c r="A2227" s="3" t="s">
        <v>4571</v>
      </c>
      <c r="B2227" s="3" t="str">
        <f>"034527010"</f>
        <v>034527010</v>
      </c>
      <c r="C2227" s="3" t="s">
        <v>4572</v>
      </c>
      <c r="D2227" s="3" t="s">
        <v>4573</v>
      </c>
      <c r="E2227" s="3" t="s">
        <v>182</v>
      </c>
      <c r="F2227" s="2">
        <v>41078</v>
      </c>
      <c r="G2227" s="2"/>
      <c r="H2227" s="3515" t="s">
        <v>17</v>
      </c>
      <c r="I2227" s="3516" t="s">
        <v>18</v>
      </c>
      <c r="J2227" s="3" t="s">
        <v>19</v>
      </c>
      <c r="K2227" s="3"/>
    </row>
    <row r="2228" spans="1:11" ht="43.2" x14ac:dyDescent="0.3">
      <c r="A2228" s="3" t="s">
        <v>4571</v>
      </c>
      <c r="B2228" s="3" t="str">
        <f>"034527073"</f>
        <v>034527073</v>
      </c>
      <c r="C2228" s="3" t="s">
        <v>4572</v>
      </c>
      <c r="D2228" s="3" t="s">
        <v>4574</v>
      </c>
      <c r="E2228" s="3" t="s">
        <v>182</v>
      </c>
      <c r="F2228" s="2">
        <v>41571</v>
      </c>
      <c r="G2228" s="2"/>
      <c r="H2228" s="3517" t="s">
        <v>17</v>
      </c>
      <c r="I2228" s="3518" t="s">
        <v>18</v>
      </c>
      <c r="J2228" s="3" t="s">
        <v>19</v>
      </c>
      <c r="K2228" s="3"/>
    </row>
    <row r="2229" spans="1:11" ht="43.2" x14ac:dyDescent="0.3">
      <c r="A2229" s="3" t="s">
        <v>4571</v>
      </c>
      <c r="B2229" s="3" t="str">
        <f>"034527034"</f>
        <v>034527034</v>
      </c>
      <c r="C2229" s="3" t="s">
        <v>4572</v>
      </c>
      <c r="D2229" s="3" t="s">
        <v>4575</v>
      </c>
      <c r="E2229" s="3" t="s">
        <v>182</v>
      </c>
      <c r="F2229" s="2">
        <v>41347</v>
      </c>
      <c r="G2229" s="2"/>
      <c r="H2229" s="3519" t="s">
        <v>17</v>
      </c>
      <c r="I2229" s="3520" t="s">
        <v>18</v>
      </c>
      <c r="J2229" s="3" t="s">
        <v>19</v>
      </c>
      <c r="K2229" s="3"/>
    </row>
    <row r="2230" spans="1:11" ht="43.2" x14ac:dyDescent="0.3">
      <c r="A2230" s="3" t="s">
        <v>4571</v>
      </c>
      <c r="B2230" s="3" t="str">
        <f>"034527059"</f>
        <v>034527059</v>
      </c>
      <c r="C2230" s="3" t="s">
        <v>4572</v>
      </c>
      <c r="D2230" s="3" t="s">
        <v>4576</v>
      </c>
      <c r="E2230" s="3" t="s">
        <v>182</v>
      </c>
      <c r="F2230" s="2">
        <v>41537</v>
      </c>
      <c r="G2230" s="2"/>
      <c r="H2230" s="3521" t="s">
        <v>17</v>
      </c>
      <c r="I2230" s="3522" t="s">
        <v>18</v>
      </c>
      <c r="J2230" s="3" t="s">
        <v>19</v>
      </c>
      <c r="K2230" s="3"/>
    </row>
    <row r="2231" spans="1:11" ht="57.6" x14ac:dyDescent="0.3">
      <c r="A2231" s="3" t="s">
        <v>4571</v>
      </c>
      <c r="B2231" s="3" t="str">
        <f>"034527236"</f>
        <v>034527236</v>
      </c>
      <c r="C2231" s="3" t="s">
        <v>4572</v>
      </c>
      <c r="D2231" s="3" t="s">
        <v>4577</v>
      </c>
      <c r="E2231" s="3" t="s">
        <v>182</v>
      </c>
      <c r="F2231" s="2">
        <v>43088</v>
      </c>
      <c r="G2231" s="2"/>
      <c r="H2231" s="3523" t="s">
        <v>17</v>
      </c>
      <c r="I2231" s="3524" t="s">
        <v>18</v>
      </c>
      <c r="J2231" s="3" t="s">
        <v>19</v>
      </c>
      <c r="K2231" s="3"/>
    </row>
    <row r="2232" spans="1:11" ht="43.2" x14ac:dyDescent="0.3">
      <c r="A2232" s="3" t="s">
        <v>4578</v>
      </c>
      <c r="B2232" s="3" t="str">
        <f>"042082014"</f>
        <v>042082014</v>
      </c>
      <c r="C2232" s="3" t="s">
        <v>4572</v>
      </c>
      <c r="D2232" s="3" t="s">
        <v>4579</v>
      </c>
      <c r="E2232" s="3" t="s">
        <v>927</v>
      </c>
      <c r="F2232" s="2">
        <v>43921</v>
      </c>
      <c r="G2232" s="2"/>
      <c r="H2232" s="3525" t="s">
        <v>17</v>
      </c>
      <c r="I2232" s="3526" t="s">
        <v>18</v>
      </c>
      <c r="J2232" s="3" t="s">
        <v>19</v>
      </c>
      <c r="K2232" s="3"/>
    </row>
    <row r="2233" spans="1:11" ht="43.2" x14ac:dyDescent="0.3">
      <c r="A2233" s="3" t="s">
        <v>4578</v>
      </c>
      <c r="B2233" s="3" t="str">
        <f>"042082038"</f>
        <v>042082038</v>
      </c>
      <c r="C2233" s="3" t="s">
        <v>4572</v>
      </c>
      <c r="D2233" s="3" t="s">
        <v>4580</v>
      </c>
      <c r="E2233" s="3" t="s">
        <v>927</v>
      </c>
      <c r="F2233" s="2">
        <v>43921</v>
      </c>
      <c r="G2233" s="2"/>
      <c r="H2233" s="3527" t="s">
        <v>17</v>
      </c>
      <c r="I2233" s="3528" t="s">
        <v>18</v>
      </c>
      <c r="J2233" s="3" t="s">
        <v>19</v>
      </c>
      <c r="K2233" s="3"/>
    </row>
    <row r="2234" spans="1:11" ht="43.2" x14ac:dyDescent="0.3">
      <c r="A2234" s="3" t="s">
        <v>4578</v>
      </c>
      <c r="B2234" s="3" t="str">
        <f>"042082053"</f>
        <v>042082053</v>
      </c>
      <c r="C2234" s="3" t="s">
        <v>4572</v>
      </c>
      <c r="D2234" s="3" t="s">
        <v>4581</v>
      </c>
      <c r="E2234" s="3" t="s">
        <v>927</v>
      </c>
      <c r="F2234" s="2">
        <v>43921</v>
      </c>
      <c r="G2234" s="2"/>
      <c r="H2234" s="3529" t="s">
        <v>17</v>
      </c>
      <c r="I2234" s="3530" t="s">
        <v>18</v>
      </c>
      <c r="J2234" s="3" t="s">
        <v>19</v>
      </c>
      <c r="K2234" s="3"/>
    </row>
    <row r="2235" spans="1:11" ht="43.2" x14ac:dyDescent="0.3">
      <c r="A2235" s="3" t="s">
        <v>4578</v>
      </c>
      <c r="B2235" s="3" t="str">
        <f>"042082077"</f>
        <v>042082077</v>
      </c>
      <c r="C2235" s="3" t="s">
        <v>4572</v>
      </c>
      <c r="D2235" s="3" t="s">
        <v>4582</v>
      </c>
      <c r="E2235" s="3" t="s">
        <v>927</v>
      </c>
      <c r="F2235" s="2">
        <v>43921</v>
      </c>
      <c r="G2235" s="2"/>
      <c r="H2235" s="3531" t="s">
        <v>17</v>
      </c>
      <c r="I2235" s="3532" t="s">
        <v>18</v>
      </c>
      <c r="J2235" s="3" t="s">
        <v>19</v>
      </c>
      <c r="K2235" s="3"/>
    </row>
    <row r="2236" spans="1:11" ht="43.2" x14ac:dyDescent="0.3">
      <c r="A2236" s="3" t="s">
        <v>4578</v>
      </c>
      <c r="B2236" s="3" t="str">
        <f>"042082091"</f>
        <v>042082091</v>
      </c>
      <c r="C2236" s="3" t="s">
        <v>4572</v>
      </c>
      <c r="D2236" s="3" t="s">
        <v>4583</v>
      </c>
      <c r="E2236" s="3" t="s">
        <v>927</v>
      </c>
      <c r="F2236" s="2">
        <v>43921</v>
      </c>
      <c r="G2236" s="2"/>
      <c r="H2236" s="3533" t="s">
        <v>17</v>
      </c>
      <c r="I2236" s="3534" t="s">
        <v>18</v>
      </c>
      <c r="J2236" s="3" t="s">
        <v>19</v>
      </c>
      <c r="K2236" s="3"/>
    </row>
    <row r="2237" spans="1:11" ht="43.2" x14ac:dyDescent="0.3">
      <c r="A2237" s="3" t="s">
        <v>4578</v>
      </c>
      <c r="B2237" s="3" t="str">
        <f>"042082115"</f>
        <v>042082115</v>
      </c>
      <c r="C2237" s="3" t="s">
        <v>4572</v>
      </c>
      <c r="D2237" s="3" t="s">
        <v>4584</v>
      </c>
      <c r="E2237" s="3" t="s">
        <v>927</v>
      </c>
      <c r="F2237" s="2">
        <v>44043</v>
      </c>
      <c r="G2237" s="2"/>
      <c r="H2237" s="3535" t="s">
        <v>17</v>
      </c>
      <c r="I2237" s="3536" t="s">
        <v>18</v>
      </c>
      <c r="J2237" s="3" t="s">
        <v>19</v>
      </c>
      <c r="K2237" s="3"/>
    </row>
    <row r="2238" spans="1:11" ht="43.2" x14ac:dyDescent="0.3">
      <c r="A2238" s="3" t="s">
        <v>4585</v>
      </c>
      <c r="B2238" s="3" t="str">
        <f>"039761010"</f>
        <v>039761010</v>
      </c>
      <c r="C2238" s="3" t="s">
        <v>4572</v>
      </c>
      <c r="D2238" s="3" t="s">
        <v>4586</v>
      </c>
      <c r="E2238" s="3" t="s">
        <v>16</v>
      </c>
      <c r="F2238" s="2">
        <v>43070</v>
      </c>
      <c r="G2238" s="2"/>
      <c r="H2238" s="3537" t="s">
        <v>17</v>
      </c>
      <c r="I2238" s="3538" t="s">
        <v>18</v>
      </c>
      <c r="J2238" s="3" t="s">
        <v>19</v>
      </c>
      <c r="K2238" s="3"/>
    </row>
    <row r="2239" spans="1:11" ht="43.2" x14ac:dyDescent="0.3">
      <c r="A2239" s="3" t="s">
        <v>4585</v>
      </c>
      <c r="B2239" s="3" t="str">
        <f>"039761059"</f>
        <v>039761059</v>
      </c>
      <c r="C2239" s="3" t="s">
        <v>4572</v>
      </c>
      <c r="D2239" s="3" t="s">
        <v>4587</v>
      </c>
      <c r="E2239" s="3" t="s">
        <v>16</v>
      </c>
      <c r="F2239" s="2">
        <v>43070</v>
      </c>
      <c r="G2239" s="2"/>
      <c r="H2239" s="3539" t="s">
        <v>17</v>
      </c>
      <c r="I2239" s="3540" t="s">
        <v>18</v>
      </c>
      <c r="J2239" s="3" t="s">
        <v>19</v>
      </c>
      <c r="K2239" s="3"/>
    </row>
    <row r="2240" spans="1:11" ht="43.2" x14ac:dyDescent="0.3">
      <c r="A2240" s="3" t="s">
        <v>4585</v>
      </c>
      <c r="B2240" s="3" t="str">
        <f>"039761097"</f>
        <v>039761097</v>
      </c>
      <c r="C2240" s="3" t="s">
        <v>4572</v>
      </c>
      <c r="D2240" s="3" t="s">
        <v>4588</v>
      </c>
      <c r="E2240" s="3" t="s">
        <v>16</v>
      </c>
      <c r="F2240" s="2">
        <v>43070</v>
      </c>
      <c r="G2240" s="2"/>
      <c r="H2240" s="3541" t="s">
        <v>17</v>
      </c>
      <c r="I2240" s="3542" t="s">
        <v>18</v>
      </c>
      <c r="J2240" s="3" t="s">
        <v>19</v>
      </c>
      <c r="K2240" s="3"/>
    </row>
    <row r="2241" spans="1:11" ht="43.2" x14ac:dyDescent="0.3">
      <c r="A2241" s="3" t="s">
        <v>4585</v>
      </c>
      <c r="B2241" s="3" t="str">
        <f>"039761135"</f>
        <v>039761135</v>
      </c>
      <c r="C2241" s="3" t="s">
        <v>4572</v>
      </c>
      <c r="D2241" s="3" t="s">
        <v>4589</v>
      </c>
      <c r="E2241" s="3" t="s">
        <v>16</v>
      </c>
      <c r="F2241" s="2">
        <v>43070</v>
      </c>
      <c r="G2241" s="2"/>
      <c r="H2241" s="3543" t="s">
        <v>17</v>
      </c>
      <c r="I2241" s="3544" t="s">
        <v>18</v>
      </c>
      <c r="J2241" s="3" t="s">
        <v>19</v>
      </c>
      <c r="K2241" s="3"/>
    </row>
    <row r="2242" spans="1:11" ht="43.2" x14ac:dyDescent="0.3">
      <c r="A2242" s="3" t="s">
        <v>4585</v>
      </c>
      <c r="B2242" s="3" t="str">
        <f>"039761174"</f>
        <v>039761174</v>
      </c>
      <c r="C2242" s="3" t="s">
        <v>4572</v>
      </c>
      <c r="D2242" s="3" t="s">
        <v>4590</v>
      </c>
      <c r="E2242" s="3" t="s">
        <v>16</v>
      </c>
      <c r="F2242" s="2">
        <v>43070</v>
      </c>
      <c r="G2242" s="2"/>
      <c r="H2242" s="3545" t="s">
        <v>17</v>
      </c>
      <c r="I2242" s="3546" t="s">
        <v>18</v>
      </c>
      <c r="J2242" s="3" t="s">
        <v>19</v>
      </c>
      <c r="K2242" s="3"/>
    </row>
    <row r="2243" spans="1:11" ht="43.2" x14ac:dyDescent="0.3">
      <c r="A2243" s="3" t="s">
        <v>4585</v>
      </c>
      <c r="B2243" s="3" t="str">
        <f>"039761212"</f>
        <v>039761212</v>
      </c>
      <c r="C2243" s="3" t="s">
        <v>4572</v>
      </c>
      <c r="D2243" s="3" t="s">
        <v>4591</v>
      </c>
      <c r="E2243" s="3" t="s">
        <v>16</v>
      </c>
      <c r="F2243" s="2">
        <v>43070</v>
      </c>
      <c r="G2243" s="2"/>
      <c r="H2243" s="3547" t="s">
        <v>17</v>
      </c>
      <c r="I2243" s="3548" t="s">
        <v>18</v>
      </c>
      <c r="J2243" s="3" t="s">
        <v>19</v>
      </c>
      <c r="K2243" s="3"/>
    </row>
    <row r="2244" spans="1:11" ht="43.2" x14ac:dyDescent="0.3">
      <c r="A2244" s="3" t="s">
        <v>4585</v>
      </c>
      <c r="B2244" s="3" t="str">
        <f>"039761275"</f>
        <v>039761275</v>
      </c>
      <c r="C2244" s="3" t="s">
        <v>4572</v>
      </c>
      <c r="D2244" s="3" t="s">
        <v>4592</v>
      </c>
      <c r="E2244" s="3" t="s">
        <v>16</v>
      </c>
      <c r="F2244" s="2">
        <v>44065</v>
      </c>
      <c r="G2244" s="2">
        <v>44255</v>
      </c>
      <c r="H2244" s="3549" t="s">
        <v>17</v>
      </c>
      <c r="I2244" s="3" t="s">
        <v>41</v>
      </c>
      <c r="J2244" s="3" t="s">
        <v>19</v>
      </c>
      <c r="K2244" s="3"/>
    </row>
    <row r="2245" spans="1:11" ht="43.2" x14ac:dyDescent="0.3">
      <c r="A2245" s="3" t="s">
        <v>4585</v>
      </c>
      <c r="B2245" s="3" t="str">
        <f>"039761299"</f>
        <v>039761299</v>
      </c>
      <c r="C2245" s="3" t="s">
        <v>4572</v>
      </c>
      <c r="D2245" s="3" t="s">
        <v>4593</v>
      </c>
      <c r="E2245" s="3" t="s">
        <v>16</v>
      </c>
      <c r="F2245" s="2">
        <v>44153</v>
      </c>
      <c r="G2245" s="2">
        <v>44286</v>
      </c>
      <c r="H2245" s="3550" t="s">
        <v>17</v>
      </c>
      <c r="I2245" s="3" t="s">
        <v>41</v>
      </c>
      <c r="J2245" s="3" t="s">
        <v>19</v>
      </c>
      <c r="K2245" s="3"/>
    </row>
    <row r="2246" spans="1:11" ht="43.2" x14ac:dyDescent="0.3">
      <c r="A2246" s="3" t="s">
        <v>4585</v>
      </c>
      <c r="B2246" s="3" t="str">
        <f>"039761313"</f>
        <v>039761313</v>
      </c>
      <c r="C2246" s="3" t="s">
        <v>4572</v>
      </c>
      <c r="D2246" s="3" t="s">
        <v>4594</v>
      </c>
      <c r="E2246" s="3" t="s">
        <v>16</v>
      </c>
      <c r="F2246" s="2">
        <v>44153</v>
      </c>
      <c r="G2246" s="2">
        <v>44286</v>
      </c>
      <c r="H2246" s="3551" t="s">
        <v>17</v>
      </c>
      <c r="I2246" s="3" t="s">
        <v>41</v>
      </c>
      <c r="J2246" s="3" t="s">
        <v>19</v>
      </c>
      <c r="K2246" s="3"/>
    </row>
    <row r="2247" spans="1:11" ht="43.2" x14ac:dyDescent="0.3">
      <c r="A2247" s="3" t="s">
        <v>4585</v>
      </c>
      <c r="B2247" s="3" t="str">
        <f>"039761337"</f>
        <v>039761337</v>
      </c>
      <c r="C2247" s="3" t="s">
        <v>4572</v>
      </c>
      <c r="D2247" s="3" t="s">
        <v>4595</v>
      </c>
      <c r="E2247" s="3" t="s">
        <v>16</v>
      </c>
      <c r="F2247" s="2">
        <v>44153</v>
      </c>
      <c r="G2247" s="2">
        <v>44286</v>
      </c>
      <c r="H2247" s="3552" t="s">
        <v>17</v>
      </c>
      <c r="I2247" s="3" t="s">
        <v>41</v>
      </c>
      <c r="J2247" s="3" t="s">
        <v>19</v>
      </c>
      <c r="K2247" s="3"/>
    </row>
    <row r="2248" spans="1:11" ht="43.2" x14ac:dyDescent="0.3">
      <c r="A2248" s="3" t="s">
        <v>4585</v>
      </c>
      <c r="B2248" s="3" t="str">
        <f>"039761352"</f>
        <v>039761352</v>
      </c>
      <c r="C2248" s="3" t="s">
        <v>4572</v>
      </c>
      <c r="D2248" s="3" t="s">
        <v>4596</v>
      </c>
      <c r="E2248" s="3" t="s">
        <v>16</v>
      </c>
      <c r="F2248" s="2">
        <v>44153</v>
      </c>
      <c r="G2248" s="2">
        <v>44286</v>
      </c>
      <c r="H2248" s="3553" t="s">
        <v>17</v>
      </c>
      <c r="I2248" s="3" t="s">
        <v>41</v>
      </c>
      <c r="J2248" s="3" t="s">
        <v>19</v>
      </c>
      <c r="K2248" s="3"/>
    </row>
    <row r="2249" spans="1:11" ht="43.2" x14ac:dyDescent="0.3">
      <c r="A2249" s="3" t="s">
        <v>4597</v>
      </c>
      <c r="B2249" s="3" t="str">
        <f>"039762012"</f>
        <v>039762012</v>
      </c>
      <c r="C2249" s="3" t="s">
        <v>4572</v>
      </c>
      <c r="D2249" s="3" t="s">
        <v>4598</v>
      </c>
      <c r="E2249" s="3" t="s">
        <v>518</v>
      </c>
      <c r="F2249" s="2">
        <v>42004</v>
      </c>
      <c r="G2249" s="2"/>
      <c r="H2249" s="3554" t="s">
        <v>17</v>
      </c>
      <c r="I2249" s="3555" t="s">
        <v>18</v>
      </c>
      <c r="J2249" s="3" t="s">
        <v>19</v>
      </c>
      <c r="K2249" s="3"/>
    </row>
    <row r="2250" spans="1:11" ht="43.2" x14ac:dyDescent="0.3">
      <c r="A2250" s="3" t="s">
        <v>4597</v>
      </c>
      <c r="B2250" s="3" t="str">
        <f>"039762226"</f>
        <v>039762226</v>
      </c>
      <c r="C2250" s="3" t="s">
        <v>4572</v>
      </c>
      <c r="D2250" s="3" t="s">
        <v>4599</v>
      </c>
      <c r="E2250" s="3" t="s">
        <v>518</v>
      </c>
      <c r="F2250" s="2">
        <v>42004</v>
      </c>
      <c r="G2250" s="2"/>
      <c r="H2250" s="3556" t="s">
        <v>17</v>
      </c>
      <c r="I2250" s="3557" t="s">
        <v>18</v>
      </c>
      <c r="J2250" s="3" t="s">
        <v>19</v>
      </c>
      <c r="K2250" s="3"/>
    </row>
    <row r="2251" spans="1:11" ht="43.2" x14ac:dyDescent="0.3">
      <c r="A2251" s="3" t="s">
        <v>4597</v>
      </c>
      <c r="B2251" s="3" t="str">
        <f>"039762051"</f>
        <v>039762051</v>
      </c>
      <c r="C2251" s="3" t="s">
        <v>4572</v>
      </c>
      <c r="D2251" s="3" t="s">
        <v>4600</v>
      </c>
      <c r="E2251" s="3" t="s">
        <v>518</v>
      </c>
      <c r="F2251" s="2">
        <v>42004</v>
      </c>
      <c r="G2251" s="2"/>
      <c r="H2251" s="3558" t="s">
        <v>17</v>
      </c>
      <c r="I2251" s="3559" t="s">
        <v>18</v>
      </c>
      <c r="J2251" s="3" t="s">
        <v>19</v>
      </c>
      <c r="K2251" s="3"/>
    </row>
    <row r="2252" spans="1:11" ht="43.2" x14ac:dyDescent="0.3">
      <c r="A2252" s="3" t="s">
        <v>4597</v>
      </c>
      <c r="B2252" s="3" t="str">
        <f>"039762188"</f>
        <v>039762188</v>
      </c>
      <c r="C2252" s="3" t="s">
        <v>4572</v>
      </c>
      <c r="D2252" s="3" t="s">
        <v>4601</v>
      </c>
      <c r="E2252" s="3" t="s">
        <v>518</v>
      </c>
      <c r="F2252" s="2">
        <v>42004</v>
      </c>
      <c r="G2252" s="2"/>
      <c r="H2252" s="3560" t="s">
        <v>17</v>
      </c>
      <c r="I2252" s="3561" t="s">
        <v>18</v>
      </c>
      <c r="J2252" s="3" t="s">
        <v>19</v>
      </c>
      <c r="K2252" s="3"/>
    </row>
    <row r="2253" spans="1:11" ht="43.2" x14ac:dyDescent="0.3">
      <c r="A2253" s="3" t="s">
        <v>4597</v>
      </c>
      <c r="B2253" s="3" t="str">
        <f>"039762149"</f>
        <v>039762149</v>
      </c>
      <c r="C2253" s="3" t="s">
        <v>4572</v>
      </c>
      <c r="D2253" s="3" t="s">
        <v>4602</v>
      </c>
      <c r="E2253" s="3" t="s">
        <v>518</v>
      </c>
      <c r="F2253" s="2">
        <v>42004</v>
      </c>
      <c r="G2253" s="2"/>
      <c r="H2253" s="3562" t="s">
        <v>17</v>
      </c>
      <c r="I2253" s="3563" t="s">
        <v>18</v>
      </c>
      <c r="J2253" s="3" t="s">
        <v>19</v>
      </c>
      <c r="K2253" s="3"/>
    </row>
    <row r="2254" spans="1:11" ht="43.2" x14ac:dyDescent="0.3">
      <c r="A2254" s="3" t="s">
        <v>4597</v>
      </c>
      <c r="B2254" s="3" t="str">
        <f>"039762101"</f>
        <v>039762101</v>
      </c>
      <c r="C2254" s="3" t="s">
        <v>4572</v>
      </c>
      <c r="D2254" s="3" t="s">
        <v>4603</v>
      </c>
      <c r="E2254" s="3" t="s">
        <v>518</v>
      </c>
      <c r="F2254" s="2">
        <v>42004</v>
      </c>
      <c r="G2254" s="2"/>
      <c r="H2254" s="3564" t="s">
        <v>17</v>
      </c>
      <c r="I2254" s="3565" t="s">
        <v>18</v>
      </c>
      <c r="J2254" s="3" t="s">
        <v>19</v>
      </c>
      <c r="K2254" s="3"/>
    </row>
    <row r="2255" spans="1:11" ht="43.2" x14ac:dyDescent="0.3">
      <c r="A2255" s="3" t="s">
        <v>4604</v>
      </c>
      <c r="B2255" s="3" t="str">
        <f>"041333117"</f>
        <v>041333117</v>
      </c>
      <c r="C2255" s="3" t="s">
        <v>4572</v>
      </c>
      <c r="D2255" s="3" t="s">
        <v>4605</v>
      </c>
      <c r="E2255" s="3" t="s">
        <v>64</v>
      </c>
      <c r="F2255" s="2">
        <v>41973</v>
      </c>
      <c r="G2255" s="2"/>
      <c r="H2255" s="3566" t="s">
        <v>17</v>
      </c>
      <c r="I2255" s="3567" t="s">
        <v>18</v>
      </c>
      <c r="J2255" s="3" t="s">
        <v>19</v>
      </c>
      <c r="K2255" s="3"/>
    </row>
    <row r="2256" spans="1:11" ht="43.2" x14ac:dyDescent="0.3">
      <c r="A2256" s="3" t="s">
        <v>4606</v>
      </c>
      <c r="B2256" s="3" t="str">
        <f>"027662028"</f>
        <v>027662028</v>
      </c>
      <c r="C2256" s="3" t="s">
        <v>644</v>
      </c>
      <c r="D2256" s="3" t="s">
        <v>4607</v>
      </c>
      <c r="E2256" s="3" t="s">
        <v>270</v>
      </c>
      <c r="F2256" s="2">
        <v>42143</v>
      </c>
      <c r="G2256" s="2"/>
      <c r="H2256" s="3568" t="s">
        <v>17</v>
      </c>
      <c r="I2256" s="3569" t="s">
        <v>18</v>
      </c>
      <c r="J2256" s="3" t="s">
        <v>19</v>
      </c>
      <c r="K2256" s="3"/>
    </row>
    <row r="2257" spans="1:11" ht="43.2" x14ac:dyDescent="0.3">
      <c r="A2257" s="3" t="s">
        <v>4608</v>
      </c>
      <c r="B2257" s="3" t="str">
        <f>"044740013"</f>
        <v>044740013</v>
      </c>
      <c r="C2257" s="3" t="s">
        <v>4609</v>
      </c>
      <c r="D2257" s="3" t="s">
        <v>4610</v>
      </c>
      <c r="E2257" s="3" t="s">
        <v>16</v>
      </c>
      <c r="F2257" s="2">
        <v>43983</v>
      </c>
      <c r="G2257" s="2">
        <v>44165</v>
      </c>
      <c r="H2257" s="3570" t="s">
        <v>17</v>
      </c>
      <c r="I2257" s="3" t="s">
        <v>41</v>
      </c>
      <c r="J2257" s="3" t="s">
        <v>19</v>
      </c>
      <c r="K2257" s="3"/>
    </row>
    <row r="2258" spans="1:11" ht="43.2" x14ac:dyDescent="0.3">
      <c r="A2258" s="3" t="s">
        <v>4611</v>
      </c>
      <c r="B2258" s="3" t="str">
        <f>"045097159"</f>
        <v>045097159</v>
      </c>
      <c r="C2258" s="3" t="s">
        <v>4609</v>
      </c>
      <c r="D2258" s="3" t="s">
        <v>4612</v>
      </c>
      <c r="E2258" s="3" t="s">
        <v>83</v>
      </c>
      <c r="F2258" s="2">
        <v>44249</v>
      </c>
      <c r="G2258" s="2"/>
      <c r="H2258" s="3571" t="s">
        <v>17</v>
      </c>
      <c r="I2258" s="3" t="s">
        <v>41</v>
      </c>
      <c r="J2258" s="3" t="s">
        <v>19</v>
      </c>
      <c r="K2258" s="3"/>
    </row>
    <row r="2259" spans="1:11" ht="43.2" x14ac:dyDescent="0.3">
      <c r="A2259" s="3" t="s">
        <v>4613</v>
      </c>
      <c r="B2259" s="3" t="str">
        <f>"043685092"</f>
        <v>043685092</v>
      </c>
      <c r="C2259" s="3" t="s">
        <v>4614</v>
      </c>
      <c r="D2259" s="3" t="s">
        <v>4615</v>
      </c>
      <c r="E2259" s="3" t="s">
        <v>27</v>
      </c>
      <c r="F2259" s="2">
        <v>44106</v>
      </c>
      <c r="G2259" s="2">
        <v>44316</v>
      </c>
      <c r="H2259" s="3572" t="s">
        <v>17</v>
      </c>
      <c r="I2259" s="3" t="s">
        <v>41</v>
      </c>
      <c r="J2259" s="3" t="s">
        <v>19</v>
      </c>
      <c r="K2259" s="3"/>
    </row>
    <row r="2260" spans="1:11" ht="43.2" x14ac:dyDescent="0.3">
      <c r="A2260" s="3" t="s">
        <v>4616</v>
      </c>
      <c r="B2260" s="3" t="str">
        <f>"045111010"</f>
        <v>045111010</v>
      </c>
      <c r="C2260" s="3" t="s">
        <v>4609</v>
      </c>
      <c r="D2260" s="3" t="s">
        <v>4617</v>
      </c>
      <c r="E2260" s="3" t="s">
        <v>1529</v>
      </c>
      <c r="F2260" s="2">
        <v>43866</v>
      </c>
      <c r="G2260" s="2"/>
      <c r="H2260" s="3573" t="s">
        <v>17</v>
      </c>
      <c r="I2260" s="3574" t="s">
        <v>18</v>
      </c>
      <c r="J2260" s="3" t="s">
        <v>19</v>
      </c>
      <c r="K2260" s="3"/>
    </row>
    <row r="2261" spans="1:11" ht="43.2" x14ac:dyDescent="0.3">
      <c r="A2261" s="3" t="s">
        <v>4618</v>
      </c>
      <c r="B2261" s="3" t="str">
        <f>"038174013"</f>
        <v>038174013</v>
      </c>
      <c r="C2261" s="3" t="s">
        <v>357</v>
      </c>
      <c r="D2261" s="3" t="s">
        <v>4619</v>
      </c>
      <c r="E2261" s="3" t="s">
        <v>371</v>
      </c>
      <c r="F2261" s="2">
        <v>43585</v>
      </c>
      <c r="G2261" s="2"/>
      <c r="H2261" s="3575" t="s">
        <v>17</v>
      </c>
      <c r="I2261" s="3576" t="s">
        <v>18</v>
      </c>
      <c r="J2261" s="3" t="s">
        <v>19</v>
      </c>
      <c r="K2261" s="3"/>
    </row>
    <row r="2262" spans="1:11" ht="43.2" x14ac:dyDescent="0.3">
      <c r="A2262" s="3" t="s">
        <v>4618</v>
      </c>
      <c r="B2262" s="3" t="str">
        <f>"038174025"</f>
        <v>038174025</v>
      </c>
      <c r="C2262" s="3" t="s">
        <v>357</v>
      </c>
      <c r="D2262" s="3" t="s">
        <v>4620</v>
      </c>
      <c r="E2262" s="3" t="s">
        <v>371</v>
      </c>
      <c r="F2262" s="2">
        <v>43585</v>
      </c>
      <c r="G2262" s="2"/>
      <c r="H2262" s="3577" t="s">
        <v>17</v>
      </c>
      <c r="I2262" s="3578" t="s">
        <v>18</v>
      </c>
      <c r="J2262" s="3" t="s">
        <v>19</v>
      </c>
      <c r="K2262" s="3"/>
    </row>
    <row r="2263" spans="1:11" ht="43.2" x14ac:dyDescent="0.3">
      <c r="A2263" s="3" t="s">
        <v>4621</v>
      </c>
      <c r="B2263" s="3" t="str">
        <f>"035295120"</f>
        <v>035295120</v>
      </c>
      <c r="C2263" s="3" t="s">
        <v>4622</v>
      </c>
      <c r="D2263" s="3" t="s">
        <v>4623</v>
      </c>
      <c r="E2263" s="3" t="s">
        <v>27</v>
      </c>
      <c r="F2263" s="2">
        <v>43846</v>
      </c>
      <c r="G2263" s="2">
        <v>44196</v>
      </c>
      <c r="H2263" s="3579" t="s">
        <v>17</v>
      </c>
      <c r="I2263" s="3" t="s">
        <v>104</v>
      </c>
      <c r="J2263" s="3" t="s">
        <v>19</v>
      </c>
      <c r="K2263" s="3"/>
    </row>
    <row r="2264" spans="1:11" ht="43.2" x14ac:dyDescent="0.3">
      <c r="A2264" s="3" t="s">
        <v>4621</v>
      </c>
      <c r="B2264" s="3" t="str">
        <f>"035295082"</f>
        <v>035295082</v>
      </c>
      <c r="C2264" s="3" t="s">
        <v>4622</v>
      </c>
      <c r="D2264" s="3" t="s">
        <v>4624</v>
      </c>
      <c r="E2264" s="3" t="s">
        <v>27</v>
      </c>
      <c r="F2264" s="2">
        <v>43846</v>
      </c>
      <c r="G2264" s="2">
        <v>43861</v>
      </c>
      <c r="H2264" s="3580" t="s">
        <v>17</v>
      </c>
      <c r="I2264" s="3" t="s">
        <v>104</v>
      </c>
      <c r="J2264" s="3" t="s">
        <v>19</v>
      </c>
      <c r="K2264" s="3"/>
    </row>
    <row r="2265" spans="1:11" ht="43.2" x14ac:dyDescent="0.3">
      <c r="A2265" s="3" t="s">
        <v>4625</v>
      </c>
      <c r="B2265" s="3" t="str">
        <f>"042446017"</f>
        <v>042446017</v>
      </c>
      <c r="C2265" s="3" t="s">
        <v>4626</v>
      </c>
      <c r="D2265" s="3" t="s">
        <v>4627</v>
      </c>
      <c r="E2265" s="3" t="s">
        <v>64</v>
      </c>
      <c r="F2265" s="2">
        <v>44044</v>
      </c>
      <c r="G2265" s="2"/>
      <c r="H2265" s="3581" t="s">
        <v>17</v>
      </c>
      <c r="I2265" s="3" t="s">
        <v>41</v>
      </c>
      <c r="J2265" s="3" t="s">
        <v>19</v>
      </c>
      <c r="K2265" s="3"/>
    </row>
    <row r="2266" spans="1:11" ht="43.2" x14ac:dyDescent="0.3">
      <c r="A2266" s="3" t="s">
        <v>4628</v>
      </c>
      <c r="B2266" s="3" t="str">
        <f>"024931040"</f>
        <v>024931040</v>
      </c>
      <c r="C2266" s="3" t="s">
        <v>3014</v>
      </c>
      <c r="D2266" s="3" t="s">
        <v>4629</v>
      </c>
      <c r="E2266" s="3" t="s">
        <v>2325</v>
      </c>
      <c r="F2266" s="2">
        <v>43282</v>
      </c>
      <c r="G2266" s="2"/>
      <c r="H2266" s="3582" t="s">
        <v>17</v>
      </c>
      <c r="I2266" s="3583" t="s">
        <v>32</v>
      </c>
      <c r="J2266" s="3" t="s">
        <v>19</v>
      </c>
      <c r="K2266" s="3"/>
    </row>
    <row r="2267" spans="1:11" ht="43.2" x14ac:dyDescent="0.3">
      <c r="A2267" s="3" t="s">
        <v>4628</v>
      </c>
      <c r="B2267" s="3" t="str">
        <f>"024931053"</f>
        <v>024931053</v>
      </c>
      <c r="C2267" s="3" t="s">
        <v>3014</v>
      </c>
      <c r="D2267" s="3" t="s">
        <v>4630</v>
      </c>
      <c r="E2267" s="3" t="s">
        <v>2325</v>
      </c>
      <c r="F2267" s="2">
        <v>43282</v>
      </c>
      <c r="G2267" s="2"/>
      <c r="H2267" s="3584" t="s">
        <v>17</v>
      </c>
      <c r="I2267" s="3585" t="s">
        <v>32</v>
      </c>
      <c r="J2267" s="3" t="s">
        <v>19</v>
      </c>
      <c r="K2267" s="3"/>
    </row>
    <row r="2268" spans="1:11" ht="57.6" x14ac:dyDescent="0.3">
      <c r="A2268" s="3" t="s">
        <v>4631</v>
      </c>
      <c r="B2268" s="3" t="str">
        <f>"036774038"</f>
        <v>036774038</v>
      </c>
      <c r="C2268" s="3" t="s">
        <v>4632</v>
      </c>
      <c r="D2268" s="3" t="s">
        <v>4633</v>
      </c>
      <c r="E2268" s="3" t="s">
        <v>4634</v>
      </c>
      <c r="F2268" s="2">
        <v>43221</v>
      </c>
      <c r="G2268" s="2"/>
      <c r="H2268" s="3586" t="s">
        <v>17</v>
      </c>
      <c r="I2268" s="3587" t="s">
        <v>18</v>
      </c>
      <c r="J2268" s="3" t="s">
        <v>156</v>
      </c>
      <c r="K2268" s="3"/>
    </row>
    <row r="2269" spans="1:11" ht="57.6" x14ac:dyDescent="0.3">
      <c r="A2269" s="3" t="s">
        <v>4635</v>
      </c>
      <c r="B2269" s="3" t="str">
        <f>"035864180"</f>
        <v>035864180</v>
      </c>
      <c r="C2269" s="3" t="s">
        <v>4632</v>
      </c>
      <c r="D2269" s="3" t="s">
        <v>4636</v>
      </c>
      <c r="E2269" s="3" t="s">
        <v>4637</v>
      </c>
      <c r="F2269" s="2">
        <v>43434</v>
      </c>
      <c r="G2269" s="2">
        <v>44469</v>
      </c>
      <c r="H2269" s="3588" t="s">
        <v>37</v>
      </c>
      <c r="I2269" s="3" t="s">
        <v>782</v>
      </c>
      <c r="J2269" s="3" t="s">
        <v>156</v>
      </c>
      <c r="K2269" s="3"/>
    </row>
    <row r="2270" spans="1:11" ht="57.6" x14ac:dyDescent="0.3">
      <c r="A2270" s="3" t="s">
        <v>4638</v>
      </c>
      <c r="B2270" s="3" t="str">
        <f>"002922060"</f>
        <v>002922060</v>
      </c>
      <c r="C2270" s="3" t="s">
        <v>4639</v>
      </c>
      <c r="D2270" s="3" t="s">
        <v>3911</v>
      </c>
      <c r="E2270" s="3" t="s">
        <v>151</v>
      </c>
      <c r="F2270" s="2">
        <v>43362</v>
      </c>
      <c r="G2270" s="2">
        <v>44227</v>
      </c>
      <c r="H2270" s="3589" t="s">
        <v>37</v>
      </c>
      <c r="I2270" s="3" t="s">
        <v>41</v>
      </c>
      <c r="J2270" s="3" t="s">
        <v>156</v>
      </c>
      <c r="K2270" s="3"/>
    </row>
    <row r="2271" spans="1:11" ht="57.6" x14ac:dyDescent="0.3">
      <c r="A2271" s="3" t="s">
        <v>4640</v>
      </c>
      <c r="B2271" s="3" t="str">
        <f>"022488062"</f>
        <v>022488062</v>
      </c>
      <c r="C2271" s="3" t="s">
        <v>4641</v>
      </c>
      <c r="D2271" s="3" t="s">
        <v>4642</v>
      </c>
      <c r="E2271" s="3" t="s">
        <v>1666</v>
      </c>
      <c r="F2271" s="2">
        <v>43434</v>
      </c>
      <c r="G2271" s="2"/>
      <c r="H2271" s="3590" t="s">
        <v>37</v>
      </c>
      <c r="I2271" s="3" t="s">
        <v>104</v>
      </c>
      <c r="J2271" s="3" t="s">
        <v>156</v>
      </c>
      <c r="K2271" s="3"/>
    </row>
    <row r="2272" spans="1:11" ht="86.4" x14ac:dyDescent="0.3">
      <c r="A2272" s="3" t="s">
        <v>4643</v>
      </c>
      <c r="B2272" s="3" t="str">
        <f>"039481128"</f>
        <v>039481128</v>
      </c>
      <c r="C2272" s="3" t="s">
        <v>48</v>
      </c>
      <c r="D2272" s="3" t="s">
        <v>4644</v>
      </c>
      <c r="E2272" s="3" t="s">
        <v>4645</v>
      </c>
      <c r="F2272" s="2">
        <v>41852</v>
      </c>
      <c r="G2272" s="2"/>
      <c r="H2272" s="3591" t="s">
        <v>17</v>
      </c>
      <c r="I2272" s="3592" t="s">
        <v>18</v>
      </c>
      <c r="J2272" s="3" t="s">
        <v>19</v>
      </c>
      <c r="K2272" s="3"/>
    </row>
    <row r="2273" spans="1:11" ht="43.2" x14ac:dyDescent="0.3">
      <c r="A2273" s="3" t="s">
        <v>4646</v>
      </c>
      <c r="B2273" s="3" t="str">
        <f>"036645012"</f>
        <v>036645012</v>
      </c>
      <c r="C2273" s="3" t="s">
        <v>3610</v>
      </c>
      <c r="D2273" s="3" t="s">
        <v>4647</v>
      </c>
      <c r="E2273" s="3" t="s">
        <v>3794</v>
      </c>
      <c r="F2273" s="2">
        <v>43914</v>
      </c>
      <c r="G2273" s="2"/>
      <c r="H2273" s="3593" t="s">
        <v>17</v>
      </c>
      <c r="I2273" s="3594" t="s">
        <v>18</v>
      </c>
      <c r="J2273" s="3" t="s">
        <v>19</v>
      </c>
      <c r="K2273" s="3"/>
    </row>
    <row r="2274" spans="1:11" ht="43.2" x14ac:dyDescent="0.3">
      <c r="A2274" s="3" t="s">
        <v>4646</v>
      </c>
      <c r="B2274" s="3" t="str">
        <f>"036645024"</f>
        <v>036645024</v>
      </c>
      <c r="C2274" s="3" t="s">
        <v>3610</v>
      </c>
      <c r="D2274" s="3" t="s">
        <v>4648</v>
      </c>
      <c r="E2274" s="3" t="s">
        <v>3794</v>
      </c>
      <c r="F2274" s="2">
        <v>44197</v>
      </c>
      <c r="G2274" s="2"/>
      <c r="H2274" s="3595" t="s">
        <v>17</v>
      </c>
      <c r="I2274" s="3" t="s">
        <v>41</v>
      </c>
      <c r="J2274" s="3" t="s">
        <v>19</v>
      </c>
      <c r="K2274" s="3"/>
    </row>
    <row r="2275" spans="1:11" ht="43.2" x14ac:dyDescent="0.3">
      <c r="A2275" s="3" t="s">
        <v>4646</v>
      </c>
      <c r="B2275" s="3" t="str">
        <f>"036645036"</f>
        <v>036645036</v>
      </c>
      <c r="C2275" s="3" t="s">
        <v>3610</v>
      </c>
      <c r="D2275" s="3" t="s">
        <v>4649</v>
      </c>
      <c r="E2275" s="3" t="s">
        <v>3794</v>
      </c>
      <c r="F2275" s="2">
        <v>44197</v>
      </c>
      <c r="G2275" s="2"/>
      <c r="H2275" s="3596" t="s">
        <v>17</v>
      </c>
      <c r="I2275" s="3" t="s">
        <v>41</v>
      </c>
      <c r="J2275" s="3" t="s">
        <v>19</v>
      </c>
      <c r="K2275" s="3"/>
    </row>
    <row r="2276" spans="1:11" ht="43.2" x14ac:dyDescent="0.3">
      <c r="A2276" s="3" t="s">
        <v>4646</v>
      </c>
      <c r="B2276" s="3" t="str">
        <f>"036645048"</f>
        <v>036645048</v>
      </c>
      <c r="C2276" s="3" t="s">
        <v>3610</v>
      </c>
      <c r="D2276" s="3" t="s">
        <v>4650</v>
      </c>
      <c r="E2276" s="3" t="s">
        <v>3794</v>
      </c>
      <c r="F2276" s="2">
        <v>44197</v>
      </c>
      <c r="G2276" s="2"/>
      <c r="H2276" s="3597" t="s">
        <v>17</v>
      </c>
      <c r="I2276" s="3" t="s">
        <v>41</v>
      </c>
      <c r="J2276" s="3" t="s">
        <v>19</v>
      </c>
      <c r="K2276" s="3"/>
    </row>
    <row r="2277" spans="1:11" ht="86.4" x14ac:dyDescent="0.3">
      <c r="A2277" s="3" t="s">
        <v>4651</v>
      </c>
      <c r="B2277" s="3" t="str">
        <f>"038558019"</f>
        <v>038558019</v>
      </c>
      <c r="C2277" s="3" t="s">
        <v>4652</v>
      </c>
      <c r="D2277" s="3" t="s">
        <v>4653</v>
      </c>
      <c r="E2277" s="3" t="s">
        <v>3794</v>
      </c>
      <c r="F2277" s="2">
        <v>42830</v>
      </c>
      <c r="G2277" s="2"/>
      <c r="H2277" s="3598" t="s">
        <v>17</v>
      </c>
      <c r="I2277" s="3" t="s">
        <v>41</v>
      </c>
      <c r="J2277" s="3" t="s">
        <v>156</v>
      </c>
      <c r="K2277" s="3"/>
    </row>
    <row r="2278" spans="1:11" ht="57.6" x14ac:dyDescent="0.3">
      <c r="A2278" s="3" t="s">
        <v>4651</v>
      </c>
      <c r="B2278" s="3" t="str">
        <f>"038558021"</f>
        <v>038558021</v>
      </c>
      <c r="C2278" s="3" t="s">
        <v>4652</v>
      </c>
      <c r="D2278" s="3" t="s">
        <v>4654</v>
      </c>
      <c r="E2278" s="3" t="s">
        <v>3794</v>
      </c>
      <c r="F2278" s="2">
        <v>42830</v>
      </c>
      <c r="G2278" s="2"/>
      <c r="H2278" s="3599" t="s">
        <v>17</v>
      </c>
      <c r="I2278" s="3" t="s">
        <v>41</v>
      </c>
      <c r="J2278" s="3" t="s">
        <v>156</v>
      </c>
      <c r="K2278" s="3"/>
    </row>
    <row r="2279" spans="1:11" ht="57.6" x14ac:dyDescent="0.3">
      <c r="A2279" s="3" t="s">
        <v>4655</v>
      </c>
      <c r="B2279" s="3" t="str">
        <f>"042291043"</f>
        <v>042291043</v>
      </c>
      <c r="C2279" s="3" t="s">
        <v>4656</v>
      </c>
      <c r="D2279" s="3" t="s">
        <v>4657</v>
      </c>
      <c r="E2279" s="3" t="s">
        <v>3128</v>
      </c>
      <c r="F2279" s="2">
        <v>42509</v>
      </c>
      <c r="G2279" s="2"/>
      <c r="H2279" s="3600" t="s">
        <v>17</v>
      </c>
      <c r="I2279" s="3601" t="s">
        <v>18</v>
      </c>
      <c r="J2279" s="3" t="s">
        <v>19</v>
      </c>
      <c r="K2279" s="3"/>
    </row>
    <row r="2280" spans="1:11" ht="57.6" x14ac:dyDescent="0.3">
      <c r="A2280" s="3" t="s">
        <v>4655</v>
      </c>
      <c r="B2280" s="3" t="str">
        <f>"042291029"</f>
        <v>042291029</v>
      </c>
      <c r="C2280" s="3" t="s">
        <v>4656</v>
      </c>
      <c r="D2280" s="3" t="s">
        <v>4658</v>
      </c>
      <c r="E2280" s="3" t="s">
        <v>3128</v>
      </c>
      <c r="F2280" s="2">
        <v>42509</v>
      </c>
      <c r="G2280" s="2"/>
      <c r="H2280" s="3602" t="s">
        <v>17</v>
      </c>
      <c r="I2280" s="3603" t="s">
        <v>18</v>
      </c>
      <c r="J2280" s="3" t="s">
        <v>19</v>
      </c>
      <c r="K2280" s="3"/>
    </row>
    <row r="2281" spans="1:11" ht="57.6" x14ac:dyDescent="0.3">
      <c r="A2281" s="3" t="s">
        <v>4659</v>
      </c>
      <c r="B2281" s="3" t="str">
        <f>"041757016"</f>
        <v>041757016</v>
      </c>
      <c r="C2281" s="3" t="s">
        <v>2320</v>
      </c>
      <c r="D2281" s="3" t="s">
        <v>4660</v>
      </c>
      <c r="E2281" s="3" t="s">
        <v>798</v>
      </c>
      <c r="F2281" s="2">
        <v>42913</v>
      </c>
      <c r="G2281" s="2"/>
      <c r="H2281" s="3604" t="s">
        <v>17</v>
      </c>
      <c r="I2281" s="3605" t="s">
        <v>32</v>
      </c>
      <c r="J2281" s="3" t="s">
        <v>156</v>
      </c>
      <c r="K2281" s="3"/>
    </row>
    <row r="2282" spans="1:11" ht="57.6" x14ac:dyDescent="0.3">
      <c r="A2282" s="3" t="s">
        <v>4659</v>
      </c>
      <c r="B2282" s="3" t="str">
        <f>"041757028"</f>
        <v>041757028</v>
      </c>
      <c r="C2282" s="3" t="s">
        <v>2320</v>
      </c>
      <c r="D2282" s="3" t="s">
        <v>4661</v>
      </c>
      <c r="E2282" s="3" t="s">
        <v>798</v>
      </c>
      <c r="F2282" s="2">
        <v>42913</v>
      </c>
      <c r="G2282" s="2"/>
      <c r="H2282" s="3606" t="s">
        <v>17</v>
      </c>
      <c r="I2282" s="3607" t="s">
        <v>32</v>
      </c>
      <c r="J2282" s="3" t="s">
        <v>156</v>
      </c>
      <c r="K2282" s="3"/>
    </row>
    <row r="2283" spans="1:11" ht="43.2" x14ac:dyDescent="0.3">
      <c r="A2283" s="3" t="s">
        <v>4662</v>
      </c>
      <c r="B2283" s="3" t="str">
        <f>"033805019"</f>
        <v>033805019</v>
      </c>
      <c r="C2283" s="3" t="s">
        <v>476</v>
      </c>
      <c r="D2283" s="3" t="s">
        <v>4663</v>
      </c>
      <c r="E2283" s="3" t="s">
        <v>107</v>
      </c>
      <c r="F2283" s="2">
        <v>43677</v>
      </c>
      <c r="G2283" s="2"/>
      <c r="H2283" s="3608" t="s">
        <v>17</v>
      </c>
      <c r="I2283" s="3609" t="s">
        <v>18</v>
      </c>
      <c r="J2283" s="3" t="s">
        <v>19</v>
      </c>
      <c r="K2283" s="3"/>
    </row>
    <row r="2284" spans="1:11" ht="86.4" x14ac:dyDescent="0.3">
      <c r="A2284" s="3" t="s">
        <v>4664</v>
      </c>
      <c r="B2284" s="3" t="str">
        <f>"025283019"</f>
        <v>025283019</v>
      </c>
      <c r="C2284" s="3" t="s">
        <v>4180</v>
      </c>
      <c r="D2284" s="3" t="s">
        <v>4181</v>
      </c>
      <c r="E2284" s="3" t="s">
        <v>4665</v>
      </c>
      <c r="F2284" s="2">
        <v>44075</v>
      </c>
      <c r="G2284" s="2">
        <v>44316</v>
      </c>
      <c r="H2284" s="3610" t="s">
        <v>17</v>
      </c>
      <c r="I2284" s="3" t="s">
        <v>41</v>
      </c>
      <c r="J2284" s="3" t="s">
        <v>39</v>
      </c>
      <c r="K2284" s="3"/>
    </row>
    <row r="2285" spans="1:11" ht="86.4" x14ac:dyDescent="0.3">
      <c r="A2285" s="3" t="s">
        <v>4664</v>
      </c>
      <c r="B2285" s="3" t="str">
        <f>"025283021"</f>
        <v>025283021</v>
      </c>
      <c r="C2285" s="3" t="s">
        <v>4180</v>
      </c>
      <c r="D2285" s="3" t="s">
        <v>4182</v>
      </c>
      <c r="E2285" s="3" t="s">
        <v>4665</v>
      </c>
      <c r="F2285" s="2">
        <v>44075</v>
      </c>
      <c r="G2285" s="2">
        <v>44316</v>
      </c>
      <c r="H2285" s="3611" t="s">
        <v>17</v>
      </c>
      <c r="I2285" s="3" t="s">
        <v>41</v>
      </c>
      <c r="J2285" s="3" t="s">
        <v>39</v>
      </c>
      <c r="K2285" s="3"/>
    </row>
    <row r="2286" spans="1:11" ht="86.4" x14ac:dyDescent="0.3">
      <c r="A2286" s="3" t="s">
        <v>4664</v>
      </c>
      <c r="B2286" s="3" t="str">
        <f>"025283045"</f>
        <v>025283045</v>
      </c>
      <c r="C2286" s="3" t="s">
        <v>4180</v>
      </c>
      <c r="D2286" s="3" t="s">
        <v>4183</v>
      </c>
      <c r="E2286" s="3" t="s">
        <v>4665</v>
      </c>
      <c r="F2286" s="2">
        <v>44075</v>
      </c>
      <c r="G2286" s="2">
        <v>44316</v>
      </c>
      <c r="H2286" s="3612" t="s">
        <v>17</v>
      </c>
      <c r="I2286" s="3" t="s">
        <v>41</v>
      </c>
      <c r="J2286" s="3" t="s">
        <v>39</v>
      </c>
      <c r="K2286" s="3"/>
    </row>
    <row r="2287" spans="1:11" ht="57.6" x14ac:dyDescent="0.3">
      <c r="A2287" s="3" t="s">
        <v>4666</v>
      </c>
      <c r="B2287" s="3" t="str">
        <f>"026632036"</f>
        <v>026632036</v>
      </c>
      <c r="C2287" s="3" t="s">
        <v>2677</v>
      </c>
      <c r="D2287" s="3" t="s">
        <v>4667</v>
      </c>
      <c r="E2287" s="3" t="s">
        <v>161</v>
      </c>
      <c r="F2287" s="2">
        <v>43349</v>
      </c>
      <c r="G2287" s="2"/>
      <c r="H2287" s="3613" t="s">
        <v>37</v>
      </c>
      <c r="I2287" s="3" t="s">
        <v>41</v>
      </c>
      <c r="J2287" s="3" t="s">
        <v>156</v>
      </c>
      <c r="K2287" s="3"/>
    </row>
    <row r="2288" spans="1:11" ht="43.2" x14ac:dyDescent="0.3">
      <c r="A2288" s="3" t="s">
        <v>4668</v>
      </c>
      <c r="B2288" s="3" t="str">
        <f>"028098010"</f>
        <v>028098010</v>
      </c>
      <c r="C2288" s="3" t="s">
        <v>2677</v>
      </c>
      <c r="D2288" s="3" t="s">
        <v>4669</v>
      </c>
      <c r="E2288" s="3" t="s">
        <v>161</v>
      </c>
      <c r="F2288" s="2">
        <v>43727</v>
      </c>
      <c r="G2288" s="2"/>
      <c r="H2288" s="3614" t="s">
        <v>17</v>
      </c>
      <c r="I2288" s="3615" t="s">
        <v>18</v>
      </c>
      <c r="J2288" s="3" t="s">
        <v>19</v>
      </c>
      <c r="K2288" s="3"/>
    </row>
    <row r="2289" spans="1:11" ht="72" x14ac:dyDescent="0.3">
      <c r="A2289" s="3" t="s">
        <v>4670</v>
      </c>
      <c r="B2289" s="3" t="str">
        <f>"027939038"</f>
        <v>027939038</v>
      </c>
      <c r="C2289" s="3" t="s">
        <v>3189</v>
      </c>
      <c r="D2289" s="3" t="s">
        <v>1464</v>
      </c>
      <c r="E2289" s="3" t="s">
        <v>161</v>
      </c>
      <c r="F2289" s="2">
        <v>43794</v>
      </c>
      <c r="G2289" s="2"/>
      <c r="H2289" s="3616" t="s">
        <v>17</v>
      </c>
      <c r="I2289" s="3617" t="s">
        <v>18</v>
      </c>
      <c r="J2289" s="3" t="s">
        <v>156</v>
      </c>
      <c r="K2289" s="3"/>
    </row>
    <row r="2290" spans="1:11" ht="43.2" x14ac:dyDescent="0.3">
      <c r="A2290" s="3" t="s">
        <v>4671</v>
      </c>
      <c r="B2290" s="3" t="str">
        <f>"025293046"</f>
        <v>025293046</v>
      </c>
      <c r="C2290" s="3" t="s">
        <v>4672</v>
      </c>
      <c r="D2290" s="3" t="s">
        <v>4673</v>
      </c>
      <c r="E2290" s="3" t="s">
        <v>2457</v>
      </c>
      <c r="F2290" s="2">
        <v>44050</v>
      </c>
      <c r="G2290" s="2">
        <v>44378</v>
      </c>
      <c r="H2290" s="3618" t="s">
        <v>37</v>
      </c>
      <c r="I2290" s="3" t="s">
        <v>41</v>
      </c>
      <c r="J2290" s="3" t="s">
        <v>19</v>
      </c>
      <c r="K2290" s="3"/>
    </row>
    <row r="2291" spans="1:11" ht="43.2" x14ac:dyDescent="0.3">
      <c r="A2291" s="3" t="s">
        <v>4674</v>
      </c>
      <c r="B2291" s="3" t="str">
        <f>"035073016"</f>
        <v>035073016</v>
      </c>
      <c r="C2291" s="3" t="s">
        <v>3151</v>
      </c>
      <c r="D2291" s="3" t="s">
        <v>4675</v>
      </c>
      <c r="E2291" s="3" t="s">
        <v>4676</v>
      </c>
      <c r="F2291" s="2">
        <v>41698</v>
      </c>
      <c r="G2291" s="2"/>
      <c r="H2291" s="3619" t="s">
        <v>17</v>
      </c>
      <c r="I2291" s="3620" t="s">
        <v>32</v>
      </c>
      <c r="J2291" s="3" t="s">
        <v>19</v>
      </c>
      <c r="K2291" s="3"/>
    </row>
    <row r="2292" spans="1:11" ht="57.6" x14ac:dyDescent="0.3">
      <c r="A2292" s="3" t="s">
        <v>4677</v>
      </c>
      <c r="B2292" s="3" t="str">
        <f>"028850016"</f>
        <v>028850016</v>
      </c>
      <c r="C2292" s="3" t="s">
        <v>2320</v>
      </c>
      <c r="D2292" s="3" t="s">
        <v>4678</v>
      </c>
      <c r="E2292" s="3" t="s">
        <v>1772</v>
      </c>
      <c r="F2292" s="2">
        <v>43474</v>
      </c>
      <c r="G2292" s="2"/>
      <c r="H2292" s="3621" t="s">
        <v>37</v>
      </c>
      <c r="I2292" s="3622" t="s">
        <v>1773</v>
      </c>
      <c r="J2292" s="3" t="s">
        <v>156</v>
      </c>
      <c r="K2292" s="3"/>
    </row>
    <row r="2293" spans="1:11" ht="57.6" x14ac:dyDescent="0.3">
      <c r="A2293" s="3" t="s">
        <v>4677</v>
      </c>
      <c r="B2293" s="3" t="str">
        <f>"028850028"</f>
        <v>028850028</v>
      </c>
      <c r="C2293" s="3" t="s">
        <v>2320</v>
      </c>
      <c r="D2293" s="3" t="s">
        <v>4679</v>
      </c>
      <c r="E2293" s="3" t="s">
        <v>1772</v>
      </c>
      <c r="F2293" s="2">
        <v>43474</v>
      </c>
      <c r="G2293" s="2"/>
      <c r="H2293" s="3623" t="s">
        <v>37</v>
      </c>
      <c r="I2293" s="3624" t="s">
        <v>1773</v>
      </c>
      <c r="J2293" s="3" t="s">
        <v>156</v>
      </c>
      <c r="K2293" s="3"/>
    </row>
    <row r="2294" spans="1:11" ht="43.2" x14ac:dyDescent="0.3">
      <c r="A2294" s="3" t="s">
        <v>4680</v>
      </c>
      <c r="B2294" s="3" t="str">
        <f>"034368047"</f>
        <v>034368047</v>
      </c>
      <c r="C2294" s="3" t="s">
        <v>1884</v>
      </c>
      <c r="D2294" s="3" t="s">
        <v>4681</v>
      </c>
      <c r="E2294" s="3" t="s">
        <v>1072</v>
      </c>
      <c r="F2294" s="2">
        <v>43931</v>
      </c>
      <c r="G2294" s="2"/>
      <c r="H2294" s="3625" t="s">
        <v>17</v>
      </c>
      <c r="I2294" s="3626" t="s">
        <v>18</v>
      </c>
      <c r="J2294" s="3" t="s">
        <v>19</v>
      </c>
      <c r="K2294" s="3"/>
    </row>
    <row r="2295" spans="1:11" ht="43.2" x14ac:dyDescent="0.3">
      <c r="A2295" s="3" t="s">
        <v>4680</v>
      </c>
      <c r="B2295" s="3" t="str">
        <f>"034368050"</f>
        <v>034368050</v>
      </c>
      <c r="C2295" s="3" t="s">
        <v>1884</v>
      </c>
      <c r="D2295" s="3" t="s">
        <v>4682</v>
      </c>
      <c r="E2295" s="3" t="s">
        <v>1072</v>
      </c>
      <c r="F2295" s="2">
        <v>43931</v>
      </c>
      <c r="G2295" s="2"/>
      <c r="H2295" s="3627" t="s">
        <v>17</v>
      </c>
      <c r="I2295" s="3628" t="s">
        <v>18</v>
      </c>
      <c r="J2295" s="3" t="s">
        <v>19</v>
      </c>
      <c r="K2295" s="3"/>
    </row>
    <row r="2296" spans="1:11" ht="43.2" x14ac:dyDescent="0.3">
      <c r="A2296" s="3" t="s">
        <v>4683</v>
      </c>
      <c r="B2296" s="3" t="str">
        <f>"034767018"</f>
        <v>034767018</v>
      </c>
      <c r="C2296" s="3" t="s">
        <v>4684</v>
      </c>
      <c r="D2296" s="3" t="s">
        <v>4685</v>
      </c>
      <c r="E2296" s="3" t="s">
        <v>2138</v>
      </c>
      <c r="F2296" s="2">
        <v>44242</v>
      </c>
      <c r="G2296" s="2"/>
      <c r="H2296" s="3629" t="s">
        <v>17</v>
      </c>
      <c r="I2296" s="3630" t="s">
        <v>18</v>
      </c>
      <c r="J2296" s="3" t="s">
        <v>19</v>
      </c>
      <c r="K2296" s="3"/>
    </row>
    <row r="2297" spans="1:11" ht="43.2" x14ac:dyDescent="0.3">
      <c r="A2297" s="3" t="s">
        <v>4686</v>
      </c>
      <c r="B2297" s="3" t="str">
        <f>"035852019"</f>
        <v>035852019</v>
      </c>
      <c r="C2297" s="3" t="s">
        <v>4684</v>
      </c>
      <c r="D2297" s="3" t="s">
        <v>4687</v>
      </c>
      <c r="E2297" s="3" t="s">
        <v>4688</v>
      </c>
      <c r="F2297" s="2">
        <v>43862</v>
      </c>
      <c r="G2297" s="2"/>
      <c r="H2297" s="3631" t="s">
        <v>17</v>
      </c>
      <c r="I2297" s="3" t="s">
        <v>41</v>
      </c>
      <c r="J2297" s="3" t="s">
        <v>19</v>
      </c>
      <c r="K2297" s="3"/>
    </row>
    <row r="2298" spans="1:11" ht="43.2" x14ac:dyDescent="0.3">
      <c r="A2298" s="3" t="s">
        <v>4689</v>
      </c>
      <c r="B2298" s="3" t="str">
        <f>"033973013"</f>
        <v>033973013</v>
      </c>
      <c r="C2298" s="3" t="s">
        <v>3277</v>
      </c>
      <c r="D2298" s="3" t="s">
        <v>4690</v>
      </c>
      <c r="E2298" s="3" t="s">
        <v>1238</v>
      </c>
      <c r="F2298" s="2">
        <v>44134</v>
      </c>
      <c r="G2298" s="2">
        <v>44377</v>
      </c>
      <c r="H2298" s="3632" t="s">
        <v>17</v>
      </c>
      <c r="I2298" s="3" t="s">
        <v>41</v>
      </c>
      <c r="J2298" s="3" t="s">
        <v>19</v>
      </c>
      <c r="K2298" s="3"/>
    </row>
    <row r="2299" spans="1:11" ht="43.2" x14ac:dyDescent="0.3">
      <c r="A2299" s="3" t="s">
        <v>4689</v>
      </c>
      <c r="B2299" s="3" t="str">
        <f>"033973025"</f>
        <v>033973025</v>
      </c>
      <c r="C2299" s="3" t="s">
        <v>3277</v>
      </c>
      <c r="D2299" s="3" t="s">
        <v>4691</v>
      </c>
      <c r="E2299" s="3" t="s">
        <v>1238</v>
      </c>
      <c r="F2299" s="2">
        <v>44027</v>
      </c>
      <c r="G2299" s="2">
        <v>44377</v>
      </c>
      <c r="H2299" s="3633" t="s">
        <v>17</v>
      </c>
      <c r="I2299" s="3" t="s">
        <v>41</v>
      </c>
      <c r="J2299" s="3" t="s">
        <v>19</v>
      </c>
      <c r="K2299" s="3"/>
    </row>
    <row r="2300" spans="1:11" ht="43.2" x14ac:dyDescent="0.3">
      <c r="A2300" s="3" t="s">
        <v>4692</v>
      </c>
      <c r="B2300" s="3" t="str">
        <f>"005982020"</f>
        <v>005982020</v>
      </c>
      <c r="C2300" s="3" t="s">
        <v>4693</v>
      </c>
      <c r="D2300" s="3" t="s">
        <v>4694</v>
      </c>
      <c r="E2300" s="3" t="s">
        <v>1939</v>
      </c>
      <c r="F2300" s="2">
        <v>41854</v>
      </c>
      <c r="G2300" s="2"/>
      <c r="H2300" s="3634" t="s">
        <v>37</v>
      </c>
      <c r="I2300" s="3" t="s">
        <v>41</v>
      </c>
      <c r="J2300" s="3" t="s">
        <v>19</v>
      </c>
      <c r="K2300" s="3"/>
    </row>
    <row r="2301" spans="1:11" ht="43.2" x14ac:dyDescent="0.3">
      <c r="A2301" s="3" t="s">
        <v>4695</v>
      </c>
      <c r="B2301" s="3" t="str">
        <f>"035676030"</f>
        <v>035676030</v>
      </c>
      <c r="C2301" s="3" t="s">
        <v>1556</v>
      </c>
      <c r="D2301" s="3" t="s">
        <v>1557</v>
      </c>
      <c r="E2301" s="3" t="s">
        <v>1558</v>
      </c>
      <c r="F2301" s="2">
        <v>41365</v>
      </c>
      <c r="G2301" s="2"/>
      <c r="H2301" s="3635" t="s">
        <v>17</v>
      </c>
      <c r="I2301" s="3636" t="s">
        <v>18</v>
      </c>
      <c r="J2301" s="3" t="s">
        <v>19</v>
      </c>
      <c r="K2301" s="3"/>
    </row>
    <row r="2302" spans="1:11" ht="57.6" x14ac:dyDescent="0.3">
      <c r="A2302" s="3" t="s">
        <v>4696</v>
      </c>
      <c r="B2302" s="3" t="str">
        <f>"045774027"</f>
        <v>045774027</v>
      </c>
      <c r="C2302" s="3"/>
      <c r="D2302" s="3" t="s">
        <v>4697</v>
      </c>
      <c r="E2302" s="3" t="s">
        <v>4698</v>
      </c>
      <c r="F2302" s="2">
        <v>44256</v>
      </c>
      <c r="G2302" s="2">
        <v>45322</v>
      </c>
      <c r="H2302" s="3637" t="s">
        <v>37</v>
      </c>
      <c r="I2302" s="3638" t="s">
        <v>32</v>
      </c>
      <c r="J2302" s="3" t="s">
        <v>19</v>
      </c>
      <c r="K2302" s="3"/>
    </row>
    <row r="2303" spans="1:11" ht="43.2" x14ac:dyDescent="0.3">
      <c r="A2303" s="3" t="s">
        <v>4699</v>
      </c>
      <c r="B2303" s="3" t="str">
        <f>"037755079"</f>
        <v>037755079</v>
      </c>
      <c r="C2303" s="3" t="s">
        <v>4343</v>
      </c>
      <c r="D2303" s="3" t="s">
        <v>4700</v>
      </c>
      <c r="E2303" s="3" t="s">
        <v>56</v>
      </c>
      <c r="F2303" s="2">
        <v>43861</v>
      </c>
      <c r="G2303" s="2">
        <v>44196</v>
      </c>
      <c r="H2303" s="3639" t="s">
        <v>17</v>
      </c>
      <c r="I2303" s="3" t="s">
        <v>41</v>
      </c>
      <c r="J2303" s="3" t="s">
        <v>19</v>
      </c>
      <c r="K2303" s="3"/>
    </row>
    <row r="2304" spans="1:11" ht="43.2" x14ac:dyDescent="0.3">
      <c r="A2304" s="3" t="s">
        <v>4699</v>
      </c>
      <c r="B2304" s="3" t="str">
        <f>"037755170"</f>
        <v>037755170</v>
      </c>
      <c r="C2304" s="3" t="s">
        <v>4343</v>
      </c>
      <c r="D2304" s="3" t="s">
        <v>4701</v>
      </c>
      <c r="E2304" s="3" t="s">
        <v>56</v>
      </c>
      <c r="F2304" s="2">
        <v>43861</v>
      </c>
      <c r="G2304" s="2">
        <v>44196</v>
      </c>
      <c r="H2304" s="3640" t="s">
        <v>17</v>
      </c>
      <c r="I2304" s="3" t="s">
        <v>41</v>
      </c>
      <c r="J2304" s="3" t="s">
        <v>19</v>
      </c>
      <c r="K2304" s="3"/>
    </row>
    <row r="2305" spans="1:11" ht="43.2" x14ac:dyDescent="0.3">
      <c r="A2305" s="3" t="s">
        <v>4699</v>
      </c>
      <c r="B2305" s="3" t="str">
        <f>"037755271"</f>
        <v>037755271</v>
      </c>
      <c r="C2305" s="3" t="s">
        <v>4343</v>
      </c>
      <c r="D2305" s="3" t="s">
        <v>4702</v>
      </c>
      <c r="E2305" s="3" t="s">
        <v>56</v>
      </c>
      <c r="F2305" s="2">
        <v>43861</v>
      </c>
      <c r="G2305" s="2">
        <v>44196</v>
      </c>
      <c r="H2305" s="3641" t="s">
        <v>17</v>
      </c>
      <c r="I2305" s="3" t="s">
        <v>41</v>
      </c>
      <c r="J2305" s="3" t="s">
        <v>19</v>
      </c>
      <c r="K2305" s="3"/>
    </row>
    <row r="2306" spans="1:11" ht="43.2" x14ac:dyDescent="0.3">
      <c r="A2306" s="3" t="s">
        <v>4699</v>
      </c>
      <c r="B2306" s="3" t="str">
        <f>"037755372"</f>
        <v>037755372</v>
      </c>
      <c r="C2306" s="3" t="s">
        <v>4343</v>
      </c>
      <c r="D2306" s="3" t="s">
        <v>4703</v>
      </c>
      <c r="E2306" s="3" t="s">
        <v>56</v>
      </c>
      <c r="F2306" s="2">
        <v>43861</v>
      </c>
      <c r="G2306" s="2">
        <v>44196</v>
      </c>
      <c r="H2306" s="3642" t="s">
        <v>17</v>
      </c>
      <c r="I2306" s="3" t="s">
        <v>41</v>
      </c>
      <c r="J2306" s="3" t="s">
        <v>19</v>
      </c>
      <c r="K2306" s="3"/>
    </row>
    <row r="2307" spans="1:11" ht="72" x14ac:dyDescent="0.3">
      <c r="A2307" s="3" t="s">
        <v>4704</v>
      </c>
      <c r="B2307" s="3" t="str">
        <f>"040330045"</f>
        <v>040330045</v>
      </c>
      <c r="C2307" s="3" t="s">
        <v>3784</v>
      </c>
      <c r="D2307" s="3" t="s">
        <v>4705</v>
      </c>
      <c r="E2307" s="3" t="s">
        <v>122</v>
      </c>
      <c r="F2307" s="2">
        <v>42615</v>
      </c>
      <c r="G2307" s="2"/>
      <c r="H2307" s="3643" t="s">
        <v>17</v>
      </c>
      <c r="I2307" s="3644" t="s">
        <v>18</v>
      </c>
      <c r="J2307" s="3" t="s">
        <v>19</v>
      </c>
      <c r="K2307" s="3"/>
    </row>
    <row r="2308" spans="1:11" ht="43.2" x14ac:dyDescent="0.3">
      <c r="A2308" s="3" t="s">
        <v>4706</v>
      </c>
      <c r="B2308" s="3" t="str">
        <f>"022556068"</f>
        <v>022556068</v>
      </c>
      <c r="C2308" s="3" t="s">
        <v>4707</v>
      </c>
      <c r="D2308" s="3" t="s">
        <v>4708</v>
      </c>
      <c r="E2308" s="3" t="s">
        <v>576</v>
      </c>
      <c r="F2308" s="2">
        <v>42644</v>
      </c>
      <c r="G2308" s="2"/>
      <c r="H2308" s="3645" t="s">
        <v>37</v>
      </c>
      <c r="I2308" s="3646" t="s">
        <v>18</v>
      </c>
      <c r="J2308" s="3" t="s">
        <v>19</v>
      </c>
      <c r="K2308" s="3"/>
    </row>
    <row r="2309" spans="1:11" ht="43.2" x14ac:dyDescent="0.3">
      <c r="A2309" s="3" t="s">
        <v>4709</v>
      </c>
      <c r="B2309" s="3" t="str">
        <f>"036350027"</f>
        <v>036350027</v>
      </c>
      <c r="C2309" s="3" t="s">
        <v>1506</v>
      </c>
      <c r="D2309" s="3" t="s">
        <v>4710</v>
      </c>
      <c r="E2309" s="3" t="s">
        <v>56</v>
      </c>
      <c r="F2309" s="2">
        <v>43395</v>
      </c>
      <c r="G2309" s="2"/>
      <c r="H2309" s="3647" t="s">
        <v>17</v>
      </c>
      <c r="I2309" s="3648" t="s">
        <v>18</v>
      </c>
      <c r="J2309" s="3" t="s">
        <v>19</v>
      </c>
      <c r="K2309" s="3"/>
    </row>
    <row r="2310" spans="1:11" ht="43.2" x14ac:dyDescent="0.3">
      <c r="A2310" s="3" t="s">
        <v>4711</v>
      </c>
      <c r="B2310" s="3" t="str">
        <f>"019889043"</f>
        <v>019889043</v>
      </c>
      <c r="C2310" s="3" t="s">
        <v>4712</v>
      </c>
      <c r="D2310" s="3" t="s">
        <v>4713</v>
      </c>
      <c r="E2310" s="3" t="s">
        <v>107</v>
      </c>
      <c r="F2310" s="2">
        <v>41066</v>
      </c>
      <c r="G2310" s="2"/>
      <c r="H2310" s="3649" t="s">
        <v>37</v>
      </c>
      <c r="I2310" s="3650" t="s">
        <v>18</v>
      </c>
      <c r="J2310" s="3" t="s">
        <v>19</v>
      </c>
      <c r="K2310" s="3"/>
    </row>
    <row r="2311" spans="1:11" ht="43.2" x14ac:dyDescent="0.3">
      <c r="A2311" s="3" t="s">
        <v>4714</v>
      </c>
      <c r="B2311" s="3" t="str">
        <f>"033007055"</f>
        <v>033007055</v>
      </c>
      <c r="C2311" s="3" t="s">
        <v>4715</v>
      </c>
      <c r="D2311" s="3" t="s">
        <v>4716</v>
      </c>
      <c r="E2311" s="3" t="s">
        <v>412</v>
      </c>
      <c r="F2311" s="2">
        <v>42855</v>
      </c>
      <c r="G2311" s="2"/>
      <c r="H2311" s="3651" t="s">
        <v>17</v>
      </c>
      <c r="I2311" s="3652" t="s">
        <v>18</v>
      </c>
      <c r="J2311" s="3" t="s">
        <v>19</v>
      </c>
      <c r="K2311" s="3"/>
    </row>
    <row r="2312" spans="1:11" ht="57.6" x14ac:dyDescent="0.3">
      <c r="A2312" s="3" t="s">
        <v>4717</v>
      </c>
      <c r="B2312" s="3" t="str">
        <f>"026519013"</f>
        <v>026519013</v>
      </c>
      <c r="C2312" s="3" t="s">
        <v>145</v>
      </c>
      <c r="D2312" s="3" t="s">
        <v>4718</v>
      </c>
      <c r="E2312" s="3" t="s">
        <v>255</v>
      </c>
      <c r="F2312" s="2">
        <v>43917</v>
      </c>
      <c r="G2312" s="2">
        <v>44025</v>
      </c>
      <c r="H2312" s="3653" t="s">
        <v>17</v>
      </c>
      <c r="I2312" s="3" t="s">
        <v>178</v>
      </c>
      <c r="J2312" s="3" t="s">
        <v>156</v>
      </c>
      <c r="K2312" s="3"/>
    </row>
    <row r="2313" spans="1:11" ht="43.2" x14ac:dyDescent="0.3">
      <c r="A2313" s="3" t="s">
        <v>4717</v>
      </c>
      <c r="B2313" s="3" t="str">
        <f>"026519025"</f>
        <v>026519025</v>
      </c>
      <c r="C2313" s="3" t="s">
        <v>145</v>
      </c>
      <c r="D2313" s="3" t="s">
        <v>4719</v>
      </c>
      <c r="E2313" s="3" t="s">
        <v>255</v>
      </c>
      <c r="F2313" s="2">
        <v>43917</v>
      </c>
      <c r="G2313" s="2">
        <v>44015</v>
      </c>
      <c r="H2313" s="3654" t="s">
        <v>17</v>
      </c>
      <c r="I2313" s="3" t="s">
        <v>178</v>
      </c>
      <c r="J2313" s="3" t="s">
        <v>240</v>
      </c>
      <c r="K2313" s="3"/>
    </row>
    <row r="2314" spans="1:11" ht="43.2" x14ac:dyDescent="0.3">
      <c r="A2314" s="3" t="s">
        <v>4720</v>
      </c>
      <c r="B2314" s="3" t="str">
        <f>"036401014"</f>
        <v>036401014</v>
      </c>
      <c r="C2314" s="3" t="s">
        <v>964</v>
      </c>
      <c r="D2314" s="3" t="s">
        <v>4721</v>
      </c>
      <c r="E2314" s="3" t="s">
        <v>371</v>
      </c>
      <c r="F2314" s="2">
        <v>44082</v>
      </c>
      <c r="G2314" s="2"/>
      <c r="H2314" s="3655" t="s">
        <v>17</v>
      </c>
      <c r="I2314" s="3656" t="s">
        <v>18</v>
      </c>
      <c r="J2314" s="3" t="s">
        <v>19</v>
      </c>
      <c r="K2314" s="3"/>
    </row>
    <row r="2315" spans="1:11" ht="43.2" x14ac:dyDescent="0.3">
      <c r="A2315" s="3" t="s">
        <v>4720</v>
      </c>
      <c r="B2315" s="3" t="str">
        <f>"036401026"</f>
        <v>036401026</v>
      </c>
      <c r="C2315" s="3" t="s">
        <v>964</v>
      </c>
      <c r="D2315" s="3" t="s">
        <v>4722</v>
      </c>
      <c r="E2315" s="3" t="s">
        <v>371</v>
      </c>
      <c r="F2315" s="2">
        <v>43987</v>
      </c>
      <c r="G2315" s="2"/>
      <c r="H2315" s="3657" t="s">
        <v>17</v>
      </c>
      <c r="I2315" s="3658" t="s">
        <v>18</v>
      </c>
      <c r="J2315" s="3" t="s">
        <v>19</v>
      </c>
      <c r="K2315" s="3"/>
    </row>
    <row r="2316" spans="1:11" ht="43.2" x14ac:dyDescent="0.3">
      <c r="A2316" s="3" t="s">
        <v>4723</v>
      </c>
      <c r="B2316" s="3" t="str">
        <f>"035918034"</f>
        <v>035918034</v>
      </c>
      <c r="C2316" s="3" t="s">
        <v>3918</v>
      </c>
      <c r="D2316" s="3" t="s">
        <v>4724</v>
      </c>
      <c r="E2316" s="3" t="s">
        <v>3094</v>
      </c>
      <c r="F2316" s="2">
        <v>42170</v>
      </c>
      <c r="G2316" s="2"/>
      <c r="H2316" s="3659" t="s">
        <v>17</v>
      </c>
      <c r="I2316" s="3" t="s">
        <v>41</v>
      </c>
      <c r="J2316" s="3" t="s">
        <v>19</v>
      </c>
      <c r="K2316" s="3"/>
    </row>
    <row r="2317" spans="1:11" ht="43.2" x14ac:dyDescent="0.3">
      <c r="A2317" s="3" t="s">
        <v>4725</v>
      </c>
      <c r="B2317" s="3" t="str">
        <f>"033531017"</f>
        <v>033531017</v>
      </c>
      <c r="C2317" s="3" t="s">
        <v>3918</v>
      </c>
      <c r="D2317" s="3" t="s">
        <v>4726</v>
      </c>
      <c r="E2317" s="3" t="s">
        <v>388</v>
      </c>
      <c r="F2317" s="2">
        <v>42884</v>
      </c>
      <c r="G2317" s="2"/>
      <c r="H2317" s="3660" t="s">
        <v>17</v>
      </c>
      <c r="I2317" s="3661" t="s">
        <v>18</v>
      </c>
      <c r="J2317" s="3" t="s">
        <v>19</v>
      </c>
      <c r="K2317" s="3"/>
    </row>
    <row r="2318" spans="1:11" ht="43.2" x14ac:dyDescent="0.3">
      <c r="A2318" s="3" t="s">
        <v>4725</v>
      </c>
      <c r="B2318" s="3" t="str">
        <f>"033531029"</f>
        <v>033531029</v>
      </c>
      <c r="C2318" s="3" t="s">
        <v>3918</v>
      </c>
      <c r="D2318" s="3" t="s">
        <v>4727</v>
      </c>
      <c r="E2318" s="3" t="s">
        <v>388</v>
      </c>
      <c r="F2318" s="2">
        <v>42836</v>
      </c>
      <c r="G2318" s="2"/>
      <c r="H2318" s="3662" t="s">
        <v>17</v>
      </c>
      <c r="I2318" s="3663" t="s">
        <v>18</v>
      </c>
      <c r="J2318" s="3" t="s">
        <v>19</v>
      </c>
      <c r="K2318" s="3"/>
    </row>
    <row r="2319" spans="1:11" ht="43.2" x14ac:dyDescent="0.3">
      <c r="A2319" s="3" t="s">
        <v>4728</v>
      </c>
      <c r="B2319" s="3" t="str">
        <f>"023578053"</f>
        <v>023578053</v>
      </c>
      <c r="C2319" s="3" t="s">
        <v>4729</v>
      </c>
      <c r="D2319" s="3" t="s">
        <v>4730</v>
      </c>
      <c r="E2319" s="3" t="s">
        <v>576</v>
      </c>
      <c r="F2319" s="2">
        <v>41501</v>
      </c>
      <c r="G2319" s="2"/>
      <c r="H2319" s="3664" t="s">
        <v>17</v>
      </c>
      <c r="I2319" s="3665" t="s">
        <v>32</v>
      </c>
      <c r="J2319" s="3" t="s">
        <v>19</v>
      </c>
      <c r="K2319" s="3"/>
    </row>
    <row r="2320" spans="1:11" ht="43.2" x14ac:dyDescent="0.3">
      <c r="A2320" s="3" t="s">
        <v>4731</v>
      </c>
      <c r="B2320" s="3" t="str">
        <f>"022019020"</f>
        <v>022019020</v>
      </c>
      <c r="C2320" s="3" t="s">
        <v>4732</v>
      </c>
      <c r="D2320" s="3" t="s">
        <v>4733</v>
      </c>
      <c r="E2320" s="3" t="s">
        <v>307</v>
      </c>
      <c r="F2320" s="2">
        <v>44027</v>
      </c>
      <c r="G2320" s="2">
        <v>44196</v>
      </c>
      <c r="H2320" s="3666" t="s">
        <v>37</v>
      </c>
      <c r="I2320" s="3" t="s">
        <v>41</v>
      </c>
      <c r="J2320" s="3" t="s">
        <v>19</v>
      </c>
      <c r="K2320" s="3"/>
    </row>
    <row r="2321" spans="1:11" ht="43.2" x14ac:dyDescent="0.3">
      <c r="A2321" s="3" t="s">
        <v>4734</v>
      </c>
      <c r="B2321" s="3" t="str">
        <f>"028741039"</f>
        <v>028741039</v>
      </c>
      <c r="C2321" s="3" t="s">
        <v>2098</v>
      </c>
      <c r="D2321" s="3" t="s">
        <v>4735</v>
      </c>
      <c r="E2321" s="3" t="s">
        <v>873</v>
      </c>
      <c r="F2321" s="2">
        <v>42893</v>
      </c>
      <c r="G2321" s="2"/>
      <c r="H2321" s="3667" t="s">
        <v>17</v>
      </c>
      <c r="I2321" s="3668" t="s">
        <v>32</v>
      </c>
      <c r="J2321" s="3" t="s">
        <v>19</v>
      </c>
      <c r="K2321" s="3"/>
    </row>
    <row r="2322" spans="1:11" ht="43.2" x14ac:dyDescent="0.3">
      <c r="A2322" s="3" t="s">
        <v>4736</v>
      </c>
      <c r="B2322" s="3" t="str">
        <f>"027898081"</f>
        <v>027898081</v>
      </c>
      <c r="C2322" s="3" t="s">
        <v>4737</v>
      </c>
      <c r="D2322" s="3" t="s">
        <v>4738</v>
      </c>
      <c r="E2322" s="3" t="s">
        <v>1330</v>
      </c>
      <c r="F2322" s="2">
        <v>42180</v>
      </c>
      <c r="G2322" s="2"/>
      <c r="H2322" s="3669" t="s">
        <v>17</v>
      </c>
      <c r="I2322" s="3670" t="s">
        <v>18</v>
      </c>
      <c r="J2322" s="3" t="s">
        <v>19</v>
      </c>
      <c r="K2322" s="3"/>
    </row>
    <row r="2323" spans="1:11" ht="72" x14ac:dyDescent="0.3">
      <c r="A2323" s="3" t="s">
        <v>4736</v>
      </c>
      <c r="B2323" s="3" t="str">
        <f>"027898067"</f>
        <v>027898067</v>
      </c>
      <c r="C2323" s="3" t="s">
        <v>4737</v>
      </c>
      <c r="D2323" s="3" t="s">
        <v>4739</v>
      </c>
      <c r="E2323" s="3" t="s">
        <v>1330</v>
      </c>
      <c r="F2323" s="2">
        <v>42180</v>
      </c>
      <c r="G2323" s="2"/>
      <c r="H2323" s="3671" t="s">
        <v>17</v>
      </c>
      <c r="I2323" s="3672" t="s">
        <v>18</v>
      </c>
      <c r="J2323" s="3" t="s">
        <v>19</v>
      </c>
      <c r="K2323" s="3"/>
    </row>
    <row r="2324" spans="1:11" ht="43.2" x14ac:dyDescent="0.3">
      <c r="A2324" s="3" t="s">
        <v>4740</v>
      </c>
      <c r="B2324" s="3" t="str">
        <f>"025349010"</f>
        <v>025349010</v>
      </c>
      <c r="C2324" s="3" t="s">
        <v>29</v>
      </c>
      <c r="D2324" s="3" t="s">
        <v>4741</v>
      </c>
      <c r="E2324" s="3" t="s">
        <v>1558</v>
      </c>
      <c r="F2324" s="2">
        <v>43131</v>
      </c>
      <c r="G2324" s="2">
        <v>44347</v>
      </c>
      <c r="H2324" s="3673" t="s">
        <v>17</v>
      </c>
      <c r="I2324" s="3674" t="s">
        <v>32</v>
      </c>
      <c r="J2324" s="3" t="s">
        <v>19</v>
      </c>
      <c r="K2324" s="3"/>
    </row>
    <row r="2325" spans="1:11" ht="43.2" x14ac:dyDescent="0.3">
      <c r="A2325" s="3" t="s">
        <v>4740</v>
      </c>
      <c r="B2325" s="3" t="str">
        <f>"025349109"</f>
        <v>025349109</v>
      </c>
      <c r="C2325" s="3" t="s">
        <v>29</v>
      </c>
      <c r="D2325" s="3" t="s">
        <v>4742</v>
      </c>
      <c r="E2325" s="3" t="s">
        <v>1558</v>
      </c>
      <c r="F2325" s="2">
        <v>43131</v>
      </c>
      <c r="G2325" s="2">
        <v>44347</v>
      </c>
      <c r="H2325" s="3675" t="s">
        <v>37</v>
      </c>
      <c r="I2325" s="3676" t="s">
        <v>32</v>
      </c>
      <c r="J2325" s="3" t="s">
        <v>19</v>
      </c>
      <c r="K2325" s="3"/>
    </row>
    <row r="2326" spans="1:11" ht="43.2" x14ac:dyDescent="0.3">
      <c r="A2326" s="3" t="s">
        <v>4743</v>
      </c>
      <c r="B2326" s="3" t="str">
        <f>"033919010"</f>
        <v>033919010</v>
      </c>
      <c r="C2326" s="3" t="s">
        <v>189</v>
      </c>
      <c r="D2326" s="3" t="s">
        <v>4744</v>
      </c>
      <c r="E2326" s="3" t="s">
        <v>3794</v>
      </c>
      <c r="F2326" s="2">
        <v>43782</v>
      </c>
      <c r="G2326" s="2"/>
      <c r="H2326" s="3677" t="s">
        <v>17</v>
      </c>
      <c r="I2326" s="3" t="s">
        <v>41</v>
      </c>
      <c r="J2326" s="3" t="s">
        <v>19</v>
      </c>
      <c r="K2326" s="3"/>
    </row>
    <row r="2327" spans="1:11" ht="43.2" x14ac:dyDescent="0.3">
      <c r="A2327" s="3" t="s">
        <v>4745</v>
      </c>
      <c r="B2327" s="3" t="str">
        <f>"028633016"</f>
        <v>028633016</v>
      </c>
      <c r="C2327" s="3" t="s">
        <v>4746</v>
      </c>
      <c r="D2327" s="3" t="s">
        <v>4747</v>
      </c>
      <c r="E2327" s="3" t="s">
        <v>1617</v>
      </c>
      <c r="F2327" s="2">
        <v>41212</v>
      </c>
      <c r="G2327" s="2"/>
      <c r="H2327" s="3678" t="s">
        <v>17</v>
      </c>
      <c r="I2327" s="3679" t="s">
        <v>32</v>
      </c>
      <c r="J2327" s="3" t="s">
        <v>19</v>
      </c>
      <c r="K2327" s="3"/>
    </row>
    <row r="2328" spans="1:11" ht="43.2" x14ac:dyDescent="0.3">
      <c r="A2328" s="3" t="s">
        <v>4748</v>
      </c>
      <c r="B2328" s="3" t="str">
        <f>"043405315"</f>
        <v>043405315</v>
      </c>
      <c r="C2328" s="3" t="s">
        <v>4749</v>
      </c>
      <c r="D2328" s="3" t="s">
        <v>4750</v>
      </c>
      <c r="E2328" s="3" t="s">
        <v>161</v>
      </c>
      <c r="F2328" s="2">
        <v>44036</v>
      </c>
      <c r="G2328" s="2"/>
      <c r="H2328" s="3680" t="s">
        <v>17</v>
      </c>
      <c r="I2328" s="3" t="s">
        <v>38</v>
      </c>
      <c r="J2328" s="3" t="s">
        <v>19</v>
      </c>
      <c r="K2328" s="3"/>
    </row>
    <row r="2329" spans="1:11" ht="43.2" x14ac:dyDescent="0.3">
      <c r="A2329" s="3" t="s">
        <v>4751</v>
      </c>
      <c r="B2329" s="3" t="str">
        <f>"034262016"</f>
        <v>034262016</v>
      </c>
      <c r="C2329" s="3" t="s">
        <v>189</v>
      </c>
      <c r="D2329" s="3" t="s">
        <v>4752</v>
      </c>
      <c r="E2329" s="3" t="s">
        <v>1962</v>
      </c>
      <c r="F2329" s="2">
        <v>43783</v>
      </c>
      <c r="G2329" s="2"/>
      <c r="H2329" s="3681" t="s">
        <v>17</v>
      </c>
      <c r="I2329" s="3" t="s">
        <v>41</v>
      </c>
      <c r="J2329" s="3" t="s">
        <v>19</v>
      </c>
      <c r="K2329" s="3"/>
    </row>
    <row r="2330" spans="1:11" ht="43.2" x14ac:dyDescent="0.3">
      <c r="A2330" s="3" t="s">
        <v>4753</v>
      </c>
      <c r="B2330" s="3" t="str">
        <f>"036630022"</f>
        <v>036630022</v>
      </c>
      <c r="C2330" s="3" t="s">
        <v>4754</v>
      </c>
      <c r="D2330" s="3" t="s">
        <v>4755</v>
      </c>
      <c r="E2330" s="3" t="s">
        <v>74</v>
      </c>
      <c r="F2330" s="2">
        <v>42095</v>
      </c>
      <c r="G2330" s="2"/>
      <c r="H2330" s="3682" t="s">
        <v>17</v>
      </c>
      <c r="I2330" s="3683" t="s">
        <v>32</v>
      </c>
      <c r="J2330" s="3" t="s">
        <v>19</v>
      </c>
      <c r="K2330" s="3"/>
    </row>
    <row r="2331" spans="1:11" ht="43.2" x14ac:dyDescent="0.3">
      <c r="A2331" s="3" t="s">
        <v>4756</v>
      </c>
      <c r="B2331" s="3" t="str">
        <f>"036631024"</f>
        <v>036631024</v>
      </c>
      <c r="C2331" s="3" t="s">
        <v>4754</v>
      </c>
      <c r="D2331" s="3" t="s">
        <v>4757</v>
      </c>
      <c r="E2331" s="3" t="s">
        <v>107</v>
      </c>
      <c r="F2331" s="2">
        <v>43521</v>
      </c>
      <c r="G2331" s="2"/>
      <c r="H2331" s="3684" t="s">
        <v>17</v>
      </c>
      <c r="I2331" s="3685" t="s">
        <v>18</v>
      </c>
      <c r="J2331" s="3" t="s">
        <v>19</v>
      </c>
      <c r="K2331" s="3"/>
    </row>
    <row r="2332" spans="1:11" ht="43.2" x14ac:dyDescent="0.3">
      <c r="A2332" s="3" t="s">
        <v>4758</v>
      </c>
      <c r="B2332" s="3" t="str">
        <f>"023083013"</f>
        <v>023083013</v>
      </c>
      <c r="C2332" s="3" t="s">
        <v>2546</v>
      </c>
      <c r="D2332" s="3" t="s">
        <v>4759</v>
      </c>
      <c r="E2332" s="3" t="s">
        <v>1102</v>
      </c>
      <c r="F2332" s="2">
        <v>42170</v>
      </c>
      <c r="G2332" s="2"/>
      <c r="H2332" s="3686" t="s">
        <v>37</v>
      </c>
      <c r="I2332" s="3687" t="s">
        <v>32</v>
      </c>
      <c r="J2332" s="3" t="s">
        <v>19</v>
      </c>
      <c r="K2332" s="3"/>
    </row>
    <row r="2333" spans="1:11" ht="57.6" x14ac:dyDescent="0.3">
      <c r="A2333" s="3" t="s">
        <v>4760</v>
      </c>
      <c r="B2333" s="3" t="str">
        <f>"042015014"</f>
        <v>042015014</v>
      </c>
      <c r="C2333" s="3" t="s">
        <v>189</v>
      </c>
      <c r="D2333" s="3" t="s">
        <v>4761</v>
      </c>
      <c r="E2333" s="3" t="s">
        <v>1416</v>
      </c>
      <c r="F2333" s="2">
        <v>43745</v>
      </c>
      <c r="G2333" s="2">
        <v>43896</v>
      </c>
      <c r="H2333" s="3688" t="s">
        <v>37</v>
      </c>
      <c r="I2333" s="3" t="s">
        <v>41</v>
      </c>
      <c r="J2333" s="3" t="s">
        <v>156</v>
      </c>
      <c r="K2333" s="3"/>
    </row>
    <row r="2334" spans="1:11" ht="43.2" x14ac:dyDescent="0.3">
      <c r="A2334" s="3" t="s">
        <v>4762</v>
      </c>
      <c r="B2334" s="3" t="str">
        <f>"028504013"</f>
        <v>028504013</v>
      </c>
      <c r="C2334" s="3" t="s">
        <v>4763</v>
      </c>
      <c r="D2334" s="3" t="s">
        <v>4764</v>
      </c>
      <c r="E2334" s="3" t="s">
        <v>4473</v>
      </c>
      <c r="F2334" s="2">
        <v>43677</v>
      </c>
      <c r="G2334" s="2"/>
      <c r="H2334" s="3689" t="s">
        <v>37</v>
      </c>
      <c r="I2334" s="3690" t="s">
        <v>18</v>
      </c>
      <c r="J2334" s="3" t="s">
        <v>19</v>
      </c>
      <c r="K2334" s="3"/>
    </row>
    <row r="2335" spans="1:11" ht="43.2" x14ac:dyDescent="0.3">
      <c r="A2335" s="3" t="s">
        <v>4765</v>
      </c>
      <c r="B2335" s="3" t="str">
        <f>"027359013"</f>
        <v>027359013</v>
      </c>
      <c r="C2335" s="3" t="s">
        <v>2244</v>
      </c>
      <c r="D2335" s="3" t="s">
        <v>4766</v>
      </c>
      <c r="E2335" s="3" t="s">
        <v>412</v>
      </c>
      <c r="F2335" s="2">
        <v>44124</v>
      </c>
      <c r="G2335" s="2">
        <v>44196</v>
      </c>
      <c r="H2335" s="3691" t="s">
        <v>17</v>
      </c>
      <c r="I2335" s="3" t="s">
        <v>41</v>
      </c>
      <c r="J2335" s="3" t="s">
        <v>19</v>
      </c>
      <c r="K2335" s="3"/>
    </row>
    <row r="2336" spans="1:11" ht="72" x14ac:dyDescent="0.3">
      <c r="A2336" s="3" t="s">
        <v>4767</v>
      </c>
      <c r="B2336" s="3" t="str">
        <f>"020705024"</f>
        <v>020705024</v>
      </c>
      <c r="C2336" s="3" t="s">
        <v>653</v>
      </c>
      <c r="D2336" s="3" t="s">
        <v>4768</v>
      </c>
      <c r="E2336" s="3" t="s">
        <v>4769</v>
      </c>
      <c r="F2336" s="2">
        <v>44136</v>
      </c>
      <c r="G2336" s="2"/>
      <c r="H2336" s="3692" t="s">
        <v>37</v>
      </c>
      <c r="I2336" s="3693" t="s">
        <v>18</v>
      </c>
      <c r="J2336" s="3" t="s">
        <v>19</v>
      </c>
      <c r="K2336" s="3"/>
    </row>
    <row r="2337" spans="1:11" ht="72" x14ac:dyDescent="0.3">
      <c r="A2337" s="3" t="s">
        <v>4770</v>
      </c>
      <c r="B2337" s="3" t="str">
        <f>"035712013"</f>
        <v>035712013</v>
      </c>
      <c r="C2337" s="3" t="s">
        <v>4771</v>
      </c>
      <c r="D2337" s="3" t="s">
        <v>4772</v>
      </c>
      <c r="E2337" s="3" t="s">
        <v>122</v>
      </c>
      <c r="F2337" s="2">
        <v>43907</v>
      </c>
      <c r="G2337" s="2"/>
      <c r="H2337" s="3694" t="s">
        <v>37</v>
      </c>
      <c r="I2337" s="3695" t="s">
        <v>18</v>
      </c>
      <c r="J2337" s="3" t="s">
        <v>19</v>
      </c>
      <c r="K2337" s="3" t="s">
        <v>4773</v>
      </c>
    </row>
    <row r="2338" spans="1:11" ht="43.2" x14ac:dyDescent="0.3">
      <c r="A2338" s="3" t="s">
        <v>4774</v>
      </c>
      <c r="B2338" s="3" t="str">
        <f>"022323051"</f>
        <v>022323051</v>
      </c>
      <c r="C2338" s="3" t="s">
        <v>4775</v>
      </c>
      <c r="D2338" s="3" t="s">
        <v>4776</v>
      </c>
      <c r="E2338" s="3" t="s">
        <v>1353</v>
      </c>
      <c r="F2338" s="2">
        <v>42369</v>
      </c>
      <c r="G2338" s="2"/>
      <c r="H2338" s="3696" t="s">
        <v>17</v>
      </c>
      <c r="I2338" s="3697" t="s">
        <v>18</v>
      </c>
      <c r="J2338" s="3" t="s">
        <v>19</v>
      </c>
      <c r="K2338" s="3"/>
    </row>
    <row r="2339" spans="1:11" ht="43.2" x14ac:dyDescent="0.3">
      <c r="A2339" s="3" t="s">
        <v>4777</v>
      </c>
      <c r="B2339" s="3" t="str">
        <f>"011351018"</f>
        <v>011351018</v>
      </c>
      <c r="C2339" s="3" t="s">
        <v>4778</v>
      </c>
      <c r="D2339" s="3" t="s">
        <v>636</v>
      </c>
      <c r="E2339" s="3" t="s">
        <v>576</v>
      </c>
      <c r="F2339" s="2">
        <v>43861</v>
      </c>
      <c r="G2339" s="2"/>
      <c r="H2339" s="3698" t="s">
        <v>37</v>
      </c>
      <c r="I2339" s="3699" t="s">
        <v>18</v>
      </c>
      <c r="J2339" s="3" t="s">
        <v>19</v>
      </c>
      <c r="K2339" s="3"/>
    </row>
    <row r="2340" spans="1:11" ht="57.6" x14ac:dyDescent="0.3">
      <c r="A2340" s="3" t="s">
        <v>4779</v>
      </c>
      <c r="B2340" s="3" t="str">
        <f>"031848017"</f>
        <v>031848017</v>
      </c>
      <c r="C2340" s="3" t="s">
        <v>4780</v>
      </c>
      <c r="D2340" s="3" t="s">
        <v>4781</v>
      </c>
      <c r="E2340" s="3" t="s">
        <v>1326</v>
      </c>
      <c r="F2340" s="2">
        <v>43976</v>
      </c>
      <c r="G2340" s="2"/>
      <c r="H2340" s="3700" t="s">
        <v>17</v>
      </c>
      <c r="I2340" s="3" t="s">
        <v>41</v>
      </c>
      <c r="J2340" s="3" t="s">
        <v>19</v>
      </c>
      <c r="K2340" s="3"/>
    </row>
    <row r="2341" spans="1:11" ht="43.2" x14ac:dyDescent="0.3">
      <c r="A2341" s="3" t="s">
        <v>4782</v>
      </c>
      <c r="B2341" s="3" t="str">
        <f>"028621011"</f>
        <v>028621011</v>
      </c>
      <c r="C2341" s="3" t="s">
        <v>3325</v>
      </c>
      <c r="D2341" s="3" t="s">
        <v>3326</v>
      </c>
      <c r="E2341" s="3" t="s">
        <v>4783</v>
      </c>
      <c r="F2341" s="2">
        <v>43720</v>
      </c>
      <c r="G2341" s="2"/>
      <c r="H2341" s="3701" t="s">
        <v>37</v>
      </c>
      <c r="I2341" s="3702" t="s">
        <v>32</v>
      </c>
      <c r="J2341" s="3" t="s">
        <v>19</v>
      </c>
      <c r="K2341" s="3"/>
    </row>
    <row r="2342" spans="1:11" ht="43.2" x14ac:dyDescent="0.3">
      <c r="A2342" s="3" t="s">
        <v>4782</v>
      </c>
      <c r="B2342" s="3" t="str">
        <f>"028621023"</f>
        <v>028621023</v>
      </c>
      <c r="C2342" s="3" t="s">
        <v>3325</v>
      </c>
      <c r="D2342" s="3" t="s">
        <v>3327</v>
      </c>
      <c r="E2342" s="3" t="s">
        <v>4783</v>
      </c>
      <c r="F2342" s="2">
        <v>41214</v>
      </c>
      <c r="G2342" s="2"/>
      <c r="H2342" s="3703" t="s">
        <v>37</v>
      </c>
      <c r="I2342" s="3704" t="s">
        <v>32</v>
      </c>
      <c r="J2342" s="3" t="s">
        <v>19</v>
      </c>
      <c r="K2342" s="3"/>
    </row>
    <row r="2343" spans="1:11" ht="43.2" x14ac:dyDescent="0.3">
      <c r="A2343" s="3" t="s">
        <v>4784</v>
      </c>
      <c r="B2343" s="3" t="str">
        <f>"033484015"</f>
        <v>033484015</v>
      </c>
      <c r="C2343" s="3" t="s">
        <v>4785</v>
      </c>
      <c r="D2343" s="3" t="s">
        <v>4786</v>
      </c>
      <c r="E2343" s="3" t="s">
        <v>4787</v>
      </c>
      <c r="F2343" s="2">
        <v>43931</v>
      </c>
      <c r="G2343" s="2"/>
      <c r="H2343" s="3705" t="s">
        <v>17</v>
      </c>
      <c r="I2343" s="3" t="s">
        <v>41</v>
      </c>
      <c r="J2343" s="3" t="s">
        <v>19</v>
      </c>
      <c r="K2343" s="3"/>
    </row>
    <row r="2344" spans="1:11" ht="43.2" x14ac:dyDescent="0.3">
      <c r="A2344" s="3" t="s">
        <v>4784</v>
      </c>
      <c r="B2344" s="3" t="str">
        <f>"033484027"</f>
        <v>033484027</v>
      </c>
      <c r="C2344" s="3" t="s">
        <v>4785</v>
      </c>
      <c r="D2344" s="3" t="s">
        <v>4788</v>
      </c>
      <c r="E2344" s="3" t="s">
        <v>4787</v>
      </c>
      <c r="F2344" s="2">
        <v>43641</v>
      </c>
      <c r="G2344" s="2"/>
      <c r="H2344" s="3706" t="s">
        <v>17</v>
      </c>
      <c r="I2344" s="3" t="s">
        <v>104</v>
      </c>
      <c r="J2344" s="3" t="s">
        <v>19</v>
      </c>
      <c r="K2344" s="3"/>
    </row>
    <row r="2345" spans="1:11" ht="43.2" x14ac:dyDescent="0.3">
      <c r="A2345" s="3" t="s">
        <v>4784</v>
      </c>
      <c r="B2345" s="3" t="str">
        <f>"033484039"</f>
        <v>033484039</v>
      </c>
      <c r="C2345" s="3" t="s">
        <v>4785</v>
      </c>
      <c r="D2345" s="3" t="s">
        <v>4789</v>
      </c>
      <c r="E2345" s="3" t="s">
        <v>4787</v>
      </c>
      <c r="F2345" s="2">
        <v>43931</v>
      </c>
      <c r="G2345" s="2"/>
      <c r="H2345" s="3707" t="s">
        <v>17</v>
      </c>
      <c r="I2345" s="3" t="s">
        <v>104</v>
      </c>
      <c r="J2345" s="3" t="s">
        <v>19</v>
      </c>
      <c r="K2345" s="3"/>
    </row>
    <row r="2346" spans="1:11" ht="72" x14ac:dyDescent="0.3">
      <c r="A2346" s="3" t="s">
        <v>4790</v>
      </c>
      <c r="B2346" s="3" t="str">
        <f>"033014162"</f>
        <v>033014162</v>
      </c>
      <c r="C2346" s="3" t="s">
        <v>4791</v>
      </c>
      <c r="D2346" s="3" t="s">
        <v>4792</v>
      </c>
      <c r="E2346" s="3" t="s">
        <v>1686</v>
      </c>
      <c r="F2346" s="2">
        <v>43818</v>
      </c>
      <c r="G2346" s="2">
        <v>44196</v>
      </c>
      <c r="H2346" s="3708" t="s">
        <v>37</v>
      </c>
      <c r="I2346" s="3" t="s">
        <v>104</v>
      </c>
      <c r="J2346" s="3" t="s">
        <v>156</v>
      </c>
      <c r="K2346" s="3"/>
    </row>
    <row r="2347" spans="1:11" ht="57.6" x14ac:dyDescent="0.3">
      <c r="A2347" s="3" t="s">
        <v>4793</v>
      </c>
      <c r="B2347" s="3" t="str">
        <f>"021458029"</f>
        <v>021458029</v>
      </c>
      <c r="C2347" s="3" t="s">
        <v>4732</v>
      </c>
      <c r="D2347" s="3" t="s">
        <v>4794</v>
      </c>
      <c r="E2347" s="3" t="s">
        <v>191</v>
      </c>
      <c r="F2347" s="2">
        <v>43390</v>
      </c>
      <c r="G2347" s="2"/>
      <c r="H2347" s="3709" t="s">
        <v>17</v>
      </c>
      <c r="I2347" s="3710" t="s">
        <v>18</v>
      </c>
      <c r="J2347" s="3" t="s">
        <v>19</v>
      </c>
      <c r="K2347" s="3"/>
    </row>
    <row r="2348" spans="1:11" ht="43.2" x14ac:dyDescent="0.3">
      <c r="A2348" s="3" t="s">
        <v>4793</v>
      </c>
      <c r="B2348" s="3" t="str">
        <f>"021458031"</f>
        <v>021458031</v>
      </c>
      <c r="C2348" s="3" t="s">
        <v>4732</v>
      </c>
      <c r="D2348" s="3" t="s">
        <v>4795</v>
      </c>
      <c r="E2348" s="3" t="s">
        <v>191</v>
      </c>
      <c r="F2348" s="2">
        <v>43891</v>
      </c>
      <c r="G2348" s="2">
        <v>44286</v>
      </c>
      <c r="H2348" s="3711" t="s">
        <v>17</v>
      </c>
      <c r="I2348" s="3" t="s">
        <v>41</v>
      </c>
      <c r="J2348" s="3" t="s">
        <v>19</v>
      </c>
      <c r="K2348" s="3"/>
    </row>
    <row r="2349" spans="1:11" ht="43.2" x14ac:dyDescent="0.3">
      <c r="A2349" s="3" t="s">
        <v>4796</v>
      </c>
      <c r="B2349" s="3" t="str">
        <f>"024612071"</f>
        <v>024612071</v>
      </c>
      <c r="C2349" s="3" t="s">
        <v>1850</v>
      </c>
      <c r="D2349" s="3" t="s">
        <v>4797</v>
      </c>
      <c r="E2349" s="3" t="s">
        <v>53</v>
      </c>
      <c r="F2349" s="2">
        <v>43028</v>
      </c>
      <c r="G2349" s="2"/>
      <c r="H2349" s="3712" t="s">
        <v>37</v>
      </c>
      <c r="I2349" s="3713" t="s">
        <v>32</v>
      </c>
      <c r="J2349" s="3" t="s">
        <v>19</v>
      </c>
      <c r="K2349" s="3"/>
    </row>
    <row r="2350" spans="1:11" ht="43.2" x14ac:dyDescent="0.3">
      <c r="A2350" s="3" t="s">
        <v>4796</v>
      </c>
      <c r="B2350" s="3" t="str">
        <f>"024612083"</f>
        <v>024612083</v>
      </c>
      <c r="C2350" s="3" t="s">
        <v>1850</v>
      </c>
      <c r="D2350" s="3" t="s">
        <v>4798</v>
      </c>
      <c r="E2350" s="3" t="s">
        <v>53</v>
      </c>
      <c r="F2350" s="2">
        <v>42648</v>
      </c>
      <c r="G2350" s="2"/>
      <c r="H2350" s="3714" t="s">
        <v>37</v>
      </c>
      <c r="I2350" s="3715" t="s">
        <v>32</v>
      </c>
      <c r="J2350" s="3" t="s">
        <v>19</v>
      </c>
      <c r="K2350" s="3"/>
    </row>
    <row r="2351" spans="1:11" ht="43.2" x14ac:dyDescent="0.3">
      <c r="A2351" s="3" t="s">
        <v>4799</v>
      </c>
      <c r="B2351" s="3" t="str">
        <f>"033003017"</f>
        <v>033003017</v>
      </c>
      <c r="C2351" s="3" t="s">
        <v>4800</v>
      </c>
      <c r="D2351" s="3" t="s">
        <v>4801</v>
      </c>
      <c r="E2351" s="3" t="s">
        <v>255</v>
      </c>
      <c r="F2351" s="2">
        <v>43925</v>
      </c>
      <c r="G2351" s="2"/>
      <c r="H2351" s="3716" t="s">
        <v>17</v>
      </c>
      <c r="I2351" s="3" t="s">
        <v>178</v>
      </c>
      <c r="J2351" s="3" t="s">
        <v>19</v>
      </c>
      <c r="K2351" s="3"/>
    </row>
    <row r="2352" spans="1:11" ht="43.2" x14ac:dyDescent="0.3">
      <c r="A2352" s="3" t="s">
        <v>4799</v>
      </c>
      <c r="B2352" s="3" t="str">
        <f>"033003029"</f>
        <v>033003029</v>
      </c>
      <c r="C2352" s="3" t="s">
        <v>4800</v>
      </c>
      <c r="D2352" s="3" t="s">
        <v>4802</v>
      </c>
      <c r="E2352" s="3" t="s">
        <v>255</v>
      </c>
      <c r="F2352" s="2">
        <v>43910</v>
      </c>
      <c r="G2352" s="2">
        <v>43951</v>
      </c>
      <c r="H2352" s="3717" t="s">
        <v>17</v>
      </c>
      <c r="I2352" s="3" t="s">
        <v>178</v>
      </c>
      <c r="J2352" s="3" t="s">
        <v>19</v>
      </c>
      <c r="K2352" s="3"/>
    </row>
    <row r="2353" spans="1:11" ht="43.2" x14ac:dyDescent="0.3">
      <c r="A2353" s="3" t="s">
        <v>4799</v>
      </c>
      <c r="B2353" s="3" t="str">
        <f>"033003031"</f>
        <v>033003031</v>
      </c>
      <c r="C2353" s="3" t="s">
        <v>4800</v>
      </c>
      <c r="D2353" s="3" t="s">
        <v>4803</v>
      </c>
      <c r="E2353" s="3" t="s">
        <v>255</v>
      </c>
      <c r="F2353" s="2">
        <v>43929</v>
      </c>
      <c r="G2353" s="2">
        <v>43951</v>
      </c>
      <c r="H2353" s="3718" t="s">
        <v>17</v>
      </c>
      <c r="I2353" s="3" t="s">
        <v>178</v>
      </c>
      <c r="J2353" s="3" t="s">
        <v>19</v>
      </c>
      <c r="K2353" s="3"/>
    </row>
    <row r="2354" spans="1:11" ht="43.2" x14ac:dyDescent="0.3">
      <c r="A2354" s="3" t="s">
        <v>4804</v>
      </c>
      <c r="B2354" s="3" t="str">
        <f>"020910028"</f>
        <v>020910028</v>
      </c>
      <c r="C2354" s="3" t="s">
        <v>4805</v>
      </c>
      <c r="D2354" s="3" t="s">
        <v>4806</v>
      </c>
      <c r="E2354" s="3" t="s">
        <v>1307</v>
      </c>
      <c r="F2354" s="2">
        <v>43617</v>
      </c>
      <c r="G2354" s="2"/>
      <c r="H2354" s="3719" t="s">
        <v>37</v>
      </c>
      <c r="I2354" s="3" t="s">
        <v>41</v>
      </c>
      <c r="J2354" s="3" t="s">
        <v>19</v>
      </c>
      <c r="K2354" s="3"/>
    </row>
    <row r="2355" spans="1:11" ht="43.2" x14ac:dyDescent="0.3">
      <c r="A2355" s="3" t="s">
        <v>4807</v>
      </c>
      <c r="B2355" s="3" t="str">
        <f>"026360077"</f>
        <v>026360077</v>
      </c>
      <c r="C2355" s="3" t="s">
        <v>4808</v>
      </c>
      <c r="D2355" s="3" t="s">
        <v>4809</v>
      </c>
      <c r="E2355" s="3" t="s">
        <v>412</v>
      </c>
      <c r="F2355" s="2">
        <v>42691</v>
      </c>
      <c r="G2355" s="2"/>
      <c r="H2355" s="3720" t="s">
        <v>37</v>
      </c>
      <c r="I2355" s="3721" t="s">
        <v>18</v>
      </c>
      <c r="J2355" s="3" t="s">
        <v>19</v>
      </c>
      <c r="K2355" s="3"/>
    </row>
    <row r="2356" spans="1:11" ht="86.4" x14ac:dyDescent="0.3">
      <c r="A2356" s="3" t="s">
        <v>4807</v>
      </c>
      <c r="B2356" s="3" t="str">
        <f>"026360014"</f>
        <v>026360014</v>
      </c>
      <c r="C2356" s="3" t="s">
        <v>4810</v>
      </c>
      <c r="D2356" s="3" t="s">
        <v>4811</v>
      </c>
      <c r="E2356" s="3" t="s">
        <v>412</v>
      </c>
      <c r="F2356" s="2">
        <v>42490</v>
      </c>
      <c r="G2356" s="2"/>
      <c r="H2356" s="3722" t="s">
        <v>17</v>
      </c>
      <c r="I2356" s="3723" t="s">
        <v>18</v>
      </c>
      <c r="J2356" s="3" t="s">
        <v>19</v>
      </c>
      <c r="K2356" s="3"/>
    </row>
    <row r="2357" spans="1:11" ht="86.4" x14ac:dyDescent="0.3">
      <c r="A2357" s="3" t="s">
        <v>4807</v>
      </c>
      <c r="B2357" s="3" t="str">
        <f>"026360026"</f>
        <v>026360026</v>
      </c>
      <c r="C2357" s="3" t="s">
        <v>4810</v>
      </c>
      <c r="D2357" s="3" t="s">
        <v>4812</v>
      </c>
      <c r="E2357" s="3" t="s">
        <v>412</v>
      </c>
      <c r="F2357" s="2">
        <v>42490</v>
      </c>
      <c r="G2357" s="2"/>
      <c r="H2357" s="3724" t="s">
        <v>17</v>
      </c>
      <c r="I2357" s="3725" t="s">
        <v>18</v>
      </c>
      <c r="J2357" s="3" t="s">
        <v>19</v>
      </c>
      <c r="K2357" s="3"/>
    </row>
    <row r="2358" spans="1:11" ht="72" x14ac:dyDescent="0.3">
      <c r="A2358" s="3" t="s">
        <v>4807</v>
      </c>
      <c r="B2358" s="3" t="str">
        <f>"026360038"</f>
        <v>026360038</v>
      </c>
      <c r="C2358" s="3" t="s">
        <v>4810</v>
      </c>
      <c r="D2358" s="3" t="s">
        <v>4813</v>
      </c>
      <c r="E2358" s="3" t="s">
        <v>412</v>
      </c>
      <c r="F2358" s="2">
        <v>42490</v>
      </c>
      <c r="G2358" s="2"/>
      <c r="H2358" s="3726" t="s">
        <v>17</v>
      </c>
      <c r="I2358" s="3727" t="s">
        <v>18</v>
      </c>
      <c r="J2358" s="3" t="s">
        <v>19</v>
      </c>
      <c r="K2358" s="3"/>
    </row>
    <row r="2359" spans="1:11" ht="43.2" x14ac:dyDescent="0.3">
      <c r="A2359" s="3" t="s">
        <v>4807</v>
      </c>
      <c r="B2359" s="3" t="str">
        <f>"026360065"</f>
        <v>026360065</v>
      </c>
      <c r="C2359" s="3" t="s">
        <v>4814</v>
      </c>
      <c r="D2359" s="3" t="s">
        <v>4815</v>
      </c>
      <c r="E2359" s="3" t="s">
        <v>412</v>
      </c>
      <c r="F2359" s="2">
        <v>42762</v>
      </c>
      <c r="G2359" s="2"/>
      <c r="H2359" s="3728" t="s">
        <v>37</v>
      </c>
      <c r="I2359" s="3729" t="s">
        <v>18</v>
      </c>
      <c r="J2359" s="3" t="s">
        <v>19</v>
      </c>
      <c r="K2359" s="3"/>
    </row>
    <row r="2360" spans="1:11" ht="57.6" x14ac:dyDescent="0.3">
      <c r="A2360" s="3" t="s">
        <v>4807</v>
      </c>
      <c r="B2360" s="3" t="str">
        <f>"026360089"</f>
        <v>026360089</v>
      </c>
      <c r="C2360" s="3" t="s">
        <v>4810</v>
      </c>
      <c r="D2360" s="3" t="s">
        <v>4816</v>
      </c>
      <c r="E2360" s="3" t="s">
        <v>412</v>
      </c>
      <c r="F2360" s="2">
        <v>42490</v>
      </c>
      <c r="G2360" s="2"/>
      <c r="H2360" s="3730" t="s">
        <v>17</v>
      </c>
      <c r="I2360" s="3731" t="s">
        <v>18</v>
      </c>
      <c r="J2360" s="3" t="s">
        <v>19</v>
      </c>
      <c r="K2360" s="3"/>
    </row>
    <row r="2361" spans="1:11" ht="72" x14ac:dyDescent="0.3">
      <c r="A2361" s="3" t="s">
        <v>4817</v>
      </c>
      <c r="B2361" s="3" t="str">
        <f>"026195091"</f>
        <v>026195091</v>
      </c>
      <c r="C2361" s="3" t="s">
        <v>2232</v>
      </c>
      <c r="D2361" s="3" t="s">
        <v>4818</v>
      </c>
      <c r="E2361" s="3" t="s">
        <v>24</v>
      </c>
      <c r="F2361" s="2">
        <v>43881</v>
      </c>
      <c r="G2361" s="2"/>
      <c r="H2361" s="3732" t="s">
        <v>37</v>
      </c>
      <c r="I2361" s="3" t="s">
        <v>41</v>
      </c>
      <c r="J2361" s="3" t="s">
        <v>156</v>
      </c>
      <c r="K2361" s="3" t="s">
        <v>4819</v>
      </c>
    </row>
    <row r="2362" spans="1:11" ht="72" x14ac:dyDescent="0.3">
      <c r="A2362" s="3" t="s">
        <v>4817</v>
      </c>
      <c r="B2362" s="3" t="str">
        <f>"026195103"</f>
        <v>026195103</v>
      </c>
      <c r="C2362" s="3" t="s">
        <v>2232</v>
      </c>
      <c r="D2362" s="3" t="s">
        <v>4820</v>
      </c>
      <c r="E2362" s="3" t="s">
        <v>24</v>
      </c>
      <c r="F2362" s="2">
        <v>43881</v>
      </c>
      <c r="G2362" s="2"/>
      <c r="H2362" s="3733" t="s">
        <v>17</v>
      </c>
      <c r="I2362" s="3" t="s">
        <v>41</v>
      </c>
      <c r="J2362" s="3" t="s">
        <v>19</v>
      </c>
      <c r="K2362" s="3" t="s">
        <v>4819</v>
      </c>
    </row>
    <row r="2363" spans="1:11" ht="72" x14ac:dyDescent="0.3">
      <c r="A2363" s="3" t="s">
        <v>4817</v>
      </c>
      <c r="B2363" s="3" t="str">
        <f>"026195127"</f>
        <v>026195127</v>
      </c>
      <c r="C2363" s="3" t="s">
        <v>2232</v>
      </c>
      <c r="D2363" s="3" t="s">
        <v>4821</v>
      </c>
      <c r="E2363" s="3" t="s">
        <v>24</v>
      </c>
      <c r="F2363" s="2">
        <v>43881</v>
      </c>
      <c r="G2363" s="2"/>
      <c r="H2363" s="3734" t="s">
        <v>37</v>
      </c>
      <c r="I2363" s="3" t="s">
        <v>41</v>
      </c>
      <c r="J2363" s="3" t="s">
        <v>156</v>
      </c>
      <c r="K2363" s="3" t="s">
        <v>4822</v>
      </c>
    </row>
    <row r="2364" spans="1:11" ht="72" x14ac:dyDescent="0.3">
      <c r="A2364" s="3" t="s">
        <v>4817</v>
      </c>
      <c r="B2364" s="3" t="str">
        <f>"026195139"</f>
        <v>026195139</v>
      </c>
      <c r="C2364" s="3" t="s">
        <v>2232</v>
      </c>
      <c r="D2364" s="3" t="s">
        <v>4823</v>
      </c>
      <c r="E2364" s="3" t="s">
        <v>24</v>
      </c>
      <c r="F2364" s="2">
        <v>43850</v>
      </c>
      <c r="G2364" s="2"/>
      <c r="H2364" s="3735" t="s">
        <v>37</v>
      </c>
      <c r="I2364" s="3" t="s">
        <v>41</v>
      </c>
      <c r="J2364" s="3" t="s">
        <v>156</v>
      </c>
      <c r="K2364" s="3" t="s">
        <v>4824</v>
      </c>
    </row>
    <row r="2365" spans="1:11" ht="72" x14ac:dyDescent="0.3">
      <c r="A2365" s="3" t="s">
        <v>4825</v>
      </c>
      <c r="B2365" s="3" t="str">
        <f>"033556010"</f>
        <v>033556010</v>
      </c>
      <c r="C2365" s="3" t="s">
        <v>2232</v>
      </c>
      <c r="D2365" s="3" t="s">
        <v>4826</v>
      </c>
      <c r="E2365" s="3" t="s">
        <v>412</v>
      </c>
      <c r="F2365" s="2">
        <v>44137</v>
      </c>
      <c r="G2365" s="2">
        <v>44255</v>
      </c>
      <c r="H2365" s="3736" t="s">
        <v>17</v>
      </c>
      <c r="I2365" s="3" t="s">
        <v>41</v>
      </c>
      <c r="J2365" s="3" t="s">
        <v>19</v>
      </c>
      <c r="K2365" s="3"/>
    </row>
    <row r="2366" spans="1:11" ht="43.2" x14ac:dyDescent="0.3">
      <c r="A2366" s="3" t="s">
        <v>4827</v>
      </c>
      <c r="B2366" s="3" t="str">
        <f>"023869011"</f>
        <v>023869011</v>
      </c>
      <c r="C2366" s="3" t="s">
        <v>4828</v>
      </c>
      <c r="D2366" s="3" t="s">
        <v>4829</v>
      </c>
      <c r="E2366" s="3" t="s">
        <v>576</v>
      </c>
      <c r="F2366" s="2">
        <v>43547</v>
      </c>
      <c r="G2366" s="2"/>
      <c r="H2366" s="3737" t="s">
        <v>17</v>
      </c>
      <c r="I2366" s="3738" t="s">
        <v>1773</v>
      </c>
      <c r="J2366" s="3" t="s">
        <v>19</v>
      </c>
      <c r="K2366" s="3"/>
    </row>
    <row r="2367" spans="1:11" ht="57.6" x14ac:dyDescent="0.3">
      <c r="A2367" s="3" t="s">
        <v>4830</v>
      </c>
      <c r="B2367" s="3" t="str">
        <f>"023630027"</f>
        <v>023630027</v>
      </c>
      <c r="C2367" s="3" t="s">
        <v>94</v>
      </c>
      <c r="D2367" s="3" t="s">
        <v>2300</v>
      </c>
      <c r="E2367" s="3" t="s">
        <v>456</v>
      </c>
      <c r="F2367" s="2">
        <v>44053</v>
      </c>
      <c r="G2367" s="2"/>
      <c r="H2367" s="3739" t="s">
        <v>37</v>
      </c>
      <c r="I2367" s="3740" t="s">
        <v>18</v>
      </c>
      <c r="J2367" s="3" t="s">
        <v>156</v>
      </c>
      <c r="K2367" s="3"/>
    </row>
    <row r="2368" spans="1:11" ht="43.2" x14ac:dyDescent="0.3">
      <c r="A2368" s="3" t="s">
        <v>4830</v>
      </c>
      <c r="B2368" s="3" t="str">
        <f>"023630066"</f>
        <v>023630066</v>
      </c>
      <c r="C2368" s="3" t="s">
        <v>94</v>
      </c>
      <c r="D2368" s="3" t="s">
        <v>96</v>
      </c>
      <c r="E2368" s="3" t="s">
        <v>456</v>
      </c>
      <c r="F2368" s="2">
        <v>41990</v>
      </c>
      <c r="G2368" s="2"/>
      <c r="H2368" s="3741" t="s">
        <v>17</v>
      </c>
      <c r="I2368" s="3742" t="s">
        <v>18</v>
      </c>
      <c r="J2368" s="3" t="s">
        <v>19</v>
      </c>
      <c r="K2368" s="3"/>
    </row>
    <row r="2369" spans="1:11" ht="43.2" x14ac:dyDescent="0.3">
      <c r="A2369" s="3" t="s">
        <v>4831</v>
      </c>
      <c r="B2369" s="3" t="str">
        <f>"024173054"</f>
        <v>024173054</v>
      </c>
      <c r="C2369" s="3" t="s">
        <v>94</v>
      </c>
      <c r="D2369" s="3" t="s">
        <v>2856</v>
      </c>
      <c r="E2369" s="3" t="s">
        <v>1238</v>
      </c>
      <c r="F2369" s="2">
        <v>43955</v>
      </c>
      <c r="G2369" s="2">
        <v>44377</v>
      </c>
      <c r="H2369" s="3743" t="s">
        <v>17</v>
      </c>
      <c r="I2369" s="3" t="s">
        <v>41</v>
      </c>
      <c r="J2369" s="3" t="s">
        <v>19</v>
      </c>
      <c r="K2369" s="3"/>
    </row>
    <row r="2370" spans="1:11" ht="43.2" x14ac:dyDescent="0.3">
      <c r="A2370" s="3" t="s">
        <v>4831</v>
      </c>
      <c r="B2370" s="3" t="str">
        <f>"024173066"</f>
        <v>024173066</v>
      </c>
      <c r="C2370" s="3" t="s">
        <v>94</v>
      </c>
      <c r="D2370" s="3" t="s">
        <v>4832</v>
      </c>
      <c r="E2370" s="3" t="s">
        <v>1238</v>
      </c>
      <c r="F2370" s="2">
        <v>43955</v>
      </c>
      <c r="G2370" s="2">
        <v>44377</v>
      </c>
      <c r="H2370" s="3744" t="s">
        <v>17</v>
      </c>
      <c r="I2370" s="3" t="s">
        <v>41</v>
      </c>
      <c r="J2370" s="3" t="s">
        <v>19</v>
      </c>
      <c r="K2370" s="3"/>
    </row>
    <row r="2371" spans="1:11" ht="43.2" x14ac:dyDescent="0.3">
      <c r="A2371" s="3" t="s">
        <v>4831</v>
      </c>
      <c r="B2371" s="3" t="str">
        <f>"024173078"</f>
        <v>024173078</v>
      </c>
      <c r="C2371" s="3" t="s">
        <v>94</v>
      </c>
      <c r="D2371" s="3" t="s">
        <v>3387</v>
      </c>
      <c r="E2371" s="3" t="s">
        <v>1238</v>
      </c>
      <c r="F2371" s="2">
        <v>43955</v>
      </c>
      <c r="G2371" s="2">
        <v>44377</v>
      </c>
      <c r="H2371" s="3745" t="s">
        <v>37</v>
      </c>
      <c r="I2371" s="3" t="s">
        <v>41</v>
      </c>
      <c r="J2371" s="3" t="s">
        <v>19</v>
      </c>
      <c r="K2371" s="3"/>
    </row>
    <row r="2372" spans="1:11" ht="43.2" x14ac:dyDescent="0.3">
      <c r="A2372" s="3" t="s">
        <v>4831</v>
      </c>
      <c r="B2372" s="3" t="str">
        <f>"024173080"</f>
        <v>024173080</v>
      </c>
      <c r="C2372" s="3" t="s">
        <v>94</v>
      </c>
      <c r="D2372" s="3" t="s">
        <v>98</v>
      </c>
      <c r="E2372" s="3" t="s">
        <v>1238</v>
      </c>
      <c r="F2372" s="2">
        <v>43955</v>
      </c>
      <c r="G2372" s="2">
        <v>44377</v>
      </c>
      <c r="H2372" s="3746" t="s">
        <v>17</v>
      </c>
      <c r="I2372" s="3" t="s">
        <v>41</v>
      </c>
      <c r="J2372" s="3" t="s">
        <v>19</v>
      </c>
      <c r="K2372" s="3"/>
    </row>
    <row r="2373" spans="1:11" ht="57.6" x14ac:dyDescent="0.3">
      <c r="A2373" s="3" t="s">
        <v>4831</v>
      </c>
      <c r="B2373" s="3" t="str">
        <f>"024173092"</f>
        <v>024173092</v>
      </c>
      <c r="C2373" s="3" t="s">
        <v>94</v>
      </c>
      <c r="D2373" s="3" t="s">
        <v>4833</v>
      </c>
      <c r="E2373" s="3" t="s">
        <v>1238</v>
      </c>
      <c r="F2373" s="2">
        <v>43643</v>
      </c>
      <c r="G2373" s="2">
        <v>44377</v>
      </c>
      <c r="H2373" s="3747" t="s">
        <v>37</v>
      </c>
      <c r="I2373" s="3748" t="s">
        <v>32</v>
      </c>
      <c r="J2373" s="3" t="s">
        <v>156</v>
      </c>
      <c r="K2373" s="3"/>
    </row>
    <row r="2374" spans="1:11" ht="57.6" x14ac:dyDescent="0.3">
      <c r="A2374" s="3" t="s">
        <v>4834</v>
      </c>
      <c r="B2374" s="3" t="str">
        <f>"024444111"</f>
        <v>024444111</v>
      </c>
      <c r="C2374" s="3" t="s">
        <v>4835</v>
      </c>
      <c r="D2374" s="3" t="s">
        <v>4836</v>
      </c>
      <c r="E2374" s="3" t="s">
        <v>3520</v>
      </c>
      <c r="F2374" s="2">
        <v>43496</v>
      </c>
      <c r="G2374" s="2"/>
      <c r="H2374" s="3749" t="s">
        <v>37</v>
      </c>
      <c r="I2374" s="3750" t="s">
        <v>18</v>
      </c>
      <c r="J2374" s="3" t="s">
        <v>156</v>
      </c>
      <c r="K2374" s="3"/>
    </row>
    <row r="2375" spans="1:11" ht="72" x14ac:dyDescent="0.3">
      <c r="A2375" s="3" t="s">
        <v>4837</v>
      </c>
      <c r="B2375" s="3" t="str">
        <f>"026073015"</f>
        <v>026073015</v>
      </c>
      <c r="C2375" s="3" t="s">
        <v>94</v>
      </c>
      <c r="D2375" s="3" t="s">
        <v>3387</v>
      </c>
      <c r="E2375" s="3" t="s">
        <v>315</v>
      </c>
      <c r="F2375" s="2">
        <v>43388</v>
      </c>
      <c r="G2375" s="2"/>
      <c r="H2375" s="3751" t="s">
        <v>17</v>
      </c>
      <c r="I2375" s="3752" t="s">
        <v>18</v>
      </c>
      <c r="J2375" s="3" t="s">
        <v>19</v>
      </c>
      <c r="K2375" s="3"/>
    </row>
    <row r="2376" spans="1:11" ht="57.6" x14ac:dyDescent="0.3">
      <c r="A2376" s="3" t="s">
        <v>4838</v>
      </c>
      <c r="B2376" s="3" t="str">
        <f>"033944024"</f>
        <v>033944024</v>
      </c>
      <c r="C2376" s="3" t="s">
        <v>4835</v>
      </c>
      <c r="D2376" s="3" t="s">
        <v>4839</v>
      </c>
      <c r="E2376" s="3" t="s">
        <v>3520</v>
      </c>
      <c r="F2376" s="2">
        <v>43516</v>
      </c>
      <c r="G2376" s="2"/>
      <c r="H2376" s="3753" t="s">
        <v>37</v>
      </c>
      <c r="I2376" s="3754" t="s">
        <v>18</v>
      </c>
      <c r="J2376" s="3" t="s">
        <v>156</v>
      </c>
      <c r="K2376" s="3"/>
    </row>
    <row r="2377" spans="1:11" ht="43.2" x14ac:dyDescent="0.3">
      <c r="A2377" s="3" t="s">
        <v>4840</v>
      </c>
      <c r="B2377" s="3" t="str">
        <f>"019995012"</f>
        <v>019995012</v>
      </c>
      <c r="C2377" s="3" t="s">
        <v>1438</v>
      </c>
      <c r="D2377" s="3" t="s">
        <v>4841</v>
      </c>
      <c r="E2377" s="3" t="s">
        <v>1314</v>
      </c>
      <c r="F2377" s="2">
        <v>42699</v>
      </c>
      <c r="G2377" s="2"/>
      <c r="H2377" s="3755" t="s">
        <v>17</v>
      </c>
      <c r="I2377" s="3756" t="s">
        <v>18</v>
      </c>
      <c r="J2377" s="3" t="s">
        <v>19</v>
      </c>
      <c r="K2377" s="3"/>
    </row>
    <row r="2378" spans="1:11" ht="43.2" x14ac:dyDescent="0.3">
      <c r="A2378" s="3" t="s">
        <v>4840</v>
      </c>
      <c r="B2378" s="3" t="str">
        <f>"019995024"</f>
        <v>019995024</v>
      </c>
      <c r="C2378" s="3" t="s">
        <v>1438</v>
      </c>
      <c r="D2378" s="3" t="s">
        <v>4842</v>
      </c>
      <c r="E2378" s="3" t="s">
        <v>1314</v>
      </c>
      <c r="F2378" s="2">
        <v>42739</v>
      </c>
      <c r="G2378" s="2"/>
      <c r="H2378" s="3757" t="s">
        <v>17</v>
      </c>
      <c r="I2378" s="3758" t="s">
        <v>18</v>
      </c>
      <c r="J2378" s="3" t="s">
        <v>19</v>
      </c>
      <c r="K2378" s="3"/>
    </row>
    <row r="2379" spans="1:11" ht="43.2" x14ac:dyDescent="0.3">
      <c r="A2379" s="3" t="s">
        <v>4843</v>
      </c>
      <c r="B2379" s="3" t="str">
        <f>"003452048"</f>
        <v>003452048</v>
      </c>
      <c r="C2379" s="3" t="s">
        <v>4844</v>
      </c>
      <c r="D2379" s="3" t="s">
        <v>4845</v>
      </c>
      <c r="E2379" s="3" t="s">
        <v>850</v>
      </c>
      <c r="F2379" s="2">
        <v>43891</v>
      </c>
      <c r="G2379" s="2"/>
      <c r="H2379" s="3759" t="s">
        <v>17</v>
      </c>
      <c r="I2379" s="3760" t="s">
        <v>18</v>
      </c>
      <c r="J2379" s="3" t="s">
        <v>19</v>
      </c>
      <c r="K2379" s="3"/>
    </row>
    <row r="2380" spans="1:11" ht="43.2" x14ac:dyDescent="0.3">
      <c r="A2380" s="3" t="s">
        <v>4846</v>
      </c>
      <c r="B2380" s="3" t="str">
        <f>"033119013"</f>
        <v>033119013</v>
      </c>
      <c r="C2380" s="3" t="s">
        <v>4167</v>
      </c>
      <c r="D2380" s="3" t="s">
        <v>4847</v>
      </c>
      <c r="E2380" s="3" t="s">
        <v>1287</v>
      </c>
      <c r="F2380" s="2">
        <v>43286</v>
      </c>
      <c r="G2380" s="2"/>
      <c r="H2380" s="3761" t="s">
        <v>17</v>
      </c>
      <c r="I2380" s="3" t="s">
        <v>41</v>
      </c>
      <c r="J2380" s="3" t="s">
        <v>19</v>
      </c>
      <c r="K2380" s="3"/>
    </row>
    <row r="2381" spans="1:11" ht="57.6" x14ac:dyDescent="0.3">
      <c r="A2381" s="3" t="s">
        <v>4846</v>
      </c>
      <c r="B2381" s="3" t="str">
        <f>"033119138"</f>
        <v>033119138</v>
      </c>
      <c r="C2381" s="3" t="s">
        <v>4167</v>
      </c>
      <c r="D2381" s="3" t="s">
        <v>4169</v>
      </c>
      <c r="E2381" s="3" t="s">
        <v>1287</v>
      </c>
      <c r="F2381" s="2">
        <v>43286</v>
      </c>
      <c r="G2381" s="2"/>
      <c r="H2381" s="3762" t="s">
        <v>17</v>
      </c>
      <c r="I2381" s="3" t="s">
        <v>41</v>
      </c>
      <c r="J2381" s="3" t="s">
        <v>19</v>
      </c>
      <c r="K2381" s="3"/>
    </row>
    <row r="2382" spans="1:11" ht="57.6" x14ac:dyDescent="0.3">
      <c r="A2382" s="3" t="s">
        <v>4846</v>
      </c>
      <c r="B2382" s="3" t="str">
        <f>"033119292"</f>
        <v>033119292</v>
      </c>
      <c r="C2382" s="3" t="s">
        <v>4167</v>
      </c>
      <c r="D2382" s="3" t="s">
        <v>4848</v>
      </c>
      <c r="E2382" s="3" t="s">
        <v>1287</v>
      </c>
      <c r="F2382" s="2">
        <v>43286</v>
      </c>
      <c r="G2382" s="2"/>
      <c r="H2382" s="3763" t="s">
        <v>17</v>
      </c>
      <c r="I2382" s="3" t="s">
        <v>41</v>
      </c>
      <c r="J2382" s="3" t="s">
        <v>19</v>
      </c>
      <c r="K2382" s="3"/>
    </row>
    <row r="2383" spans="1:11" ht="43.2" x14ac:dyDescent="0.3">
      <c r="A2383" s="3" t="s">
        <v>4846</v>
      </c>
      <c r="B2383" s="3" t="str">
        <f>"033119025"</f>
        <v>033119025</v>
      </c>
      <c r="C2383" s="3" t="s">
        <v>4167</v>
      </c>
      <c r="D2383" s="3" t="s">
        <v>4849</v>
      </c>
      <c r="E2383" s="3" t="s">
        <v>1287</v>
      </c>
      <c r="F2383" s="2">
        <v>43286</v>
      </c>
      <c r="G2383" s="2"/>
      <c r="H2383" s="3764" t="s">
        <v>17</v>
      </c>
      <c r="I2383" s="3" t="s">
        <v>41</v>
      </c>
      <c r="J2383" s="3" t="s">
        <v>19</v>
      </c>
      <c r="K2383" s="3"/>
    </row>
    <row r="2384" spans="1:11" ht="57.6" x14ac:dyDescent="0.3">
      <c r="A2384" s="3" t="s">
        <v>4850</v>
      </c>
      <c r="B2384" s="3" t="str">
        <f>"040259259"</f>
        <v>040259259</v>
      </c>
      <c r="C2384" s="3" t="s">
        <v>536</v>
      </c>
      <c r="D2384" s="3" t="s">
        <v>4851</v>
      </c>
      <c r="E2384" s="3" t="s">
        <v>27</v>
      </c>
      <c r="F2384" s="2">
        <v>43493</v>
      </c>
      <c r="G2384" s="2">
        <v>44196</v>
      </c>
      <c r="H2384" s="3765" t="s">
        <v>17</v>
      </c>
      <c r="I2384" s="3" t="s">
        <v>1259</v>
      </c>
      <c r="J2384" s="3" t="s">
        <v>19</v>
      </c>
      <c r="K2384" s="3"/>
    </row>
    <row r="2385" spans="1:11" ht="57.6" x14ac:dyDescent="0.3">
      <c r="A2385" s="3" t="s">
        <v>4852</v>
      </c>
      <c r="B2385" s="3" t="str">
        <f>"042208037"</f>
        <v>042208037</v>
      </c>
      <c r="C2385" s="3" t="s">
        <v>536</v>
      </c>
      <c r="D2385" s="3" t="s">
        <v>4853</v>
      </c>
      <c r="E2385" s="3" t="s">
        <v>74</v>
      </c>
      <c r="F2385" s="2">
        <v>43287</v>
      </c>
      <c r="G2385" s="2"/>
      <c r="H2385" s="3766" t="s">
        <v>17</v>
      </c>
      <c r="I2385" s="3" t="s">
        <v>41</v>
      </c>
      <c r="J2385" s="3" t="s">
        <v>19</v>
      </c>
      <c r="K2385" s="3"/>
    </row>
    <row r="2386" spans="1:11" ht="57.6" x14ac:dyDescent="0.3">
      <c r="A2386" s="3" t="s">
        <v>4852</v>
      </c>
      <c r="B2386" s="3" t="str">
        <f>"042208177"</f>
        <v>042208177</v>
      </c>
      <c r="C2386" s="3" t="s">
        <v>536</v>
      </c>
      <c r="D2386" s="3" t="s">
        <v>4854</v>
      </c>
      <c r="E2386" s="3" t="s">
        <v>74</v>
      </c>
      <c r="F2386" s="2">
        <v>43287</v>
      </c>
      <c r="G2386" s="2"/>
      <c r="H2386" s="3767" t="s">
        <v>17</v>
      </c>
      <c r="I2386" s="3" t="s">
        <v>41</v>
      </c>
      <c r="J2386" s="3" t="s">
        <v>19</v>
      </c>
      <c r="K2386" s="3"/>
    </row>
    <row r="2387" spans="1:11" ht="57.6" x14ac:dyDescent="0.3">
      <c r="A2387" s="3" t="s">
        <v>4852</v>
      </c>
      <c r="B2387" s="3" t="str">
        <f>"042208316"</f>
        <v>042208316</v>
      </c>
      <c r="C2387" s="3" t="s">
        <v>536</v>
      </c>
      <c r="D2387" s="3" t="s">
        <v>4855</v>
      </c>
      <c r="E2387" s="3" t="s">
        <v>74</v>
      </c>
      <c r="F2387" s="2">
        <v>43287</v>
      </c>
      <c r="G2387" s="2"/>
      <c r="H2387" s="3768" t="s">
        <v>17</v>
      </c>
      <c r="I2387" s="3" t="s">
        <v>41</v>
      </c>
      <c r="J2387" s="3" t="s">
        <v>19</v>
      </c>
      <c r="K2387" s="3"/>
    </row>
    <row r="2388" spans="1:11" ht="57.6" x14ac:dyDescent="0.3">
      <c r="A2388" s="3" t="s">
        <v>4856</v>
      </c>
      <c r="B2388" s="3" t="str">
        <f>"042278010"</f>
        <v>042278010</v>
      </c>
      <c r="C2388" s="3" t="s">
        <v>536</v>
      </c>
      <c r="D2388" s="3" t="s">
        <v>4857</v>
      </c>
      <c r="E2388" s="3" t="s">
        <v>83</v>
      </c>
      <c r="F2388" s="2">
        <v>43355</v>
      </c>
      <c r="G2388" s="2"/>
      <c r="H2388" s="3769" t="s">
        <v>17</v>
      </c>
      <c r="I2388" s="3" t="s">
        <v>41</v>
      </c>
      <c r="J2388" s="3" t="s">
        <v>19</v>
      </c>
      <c r="K2388" s="3"/>
    </row>
    <row r="2389" spans="1:11" ht="57.6" x14ac:dyDescent="0.3">
      <c r="A2389" s="3" t="s">
        <v>4856</v>
      </c>
      <c r="B2389" s="3" t="str">
        <f>"042278022"</f>
        <v>042278022</v>
      </c>
      <c r="C2389" s="3" t="s">
        <v>536</v>
      </c>
      <c r="D2389" s="3" t="s">
        <v>4858</v>
      </c>
      <c r="E2389" s="3" t="s">
        <v>83</v>
      </c>
      <c r="F2389" s="2">
        <v>43364</v>
      </c>
      <c r="G2389" s="2"/>
      <c r="H2389" s="3770" t="s">
        <v>17</v>
      </c>
      <c r="I2389" s="3" t="s">
        <v>41</v>
      </c>
      <c r="J2389" s="3" t="s">
        <v>19</v>
      </c>
      <c r="K2389" s="3"/>
    </row>
    <row r="2390" spans="1:11" ht="57.6" x14ac:dyDescent="0.3">
      <c r="A2390" s="3" t="s">
        <v>4856</v>
      </c>
      <c r="B2390" s="3" t="str">
        <f>"042278034"</f>
        <v>042278034</v>
      </c>
      <c r="C2390" s="3" t="s">
        <v>536</v>
      </c>
      <c r="D2390" s="3" t="s">
        <v>4859</v>
      </c>
      <c r="E2390" s="3" t="s">
        <v>83</v>
      </c>
      <c r="F2390" s="2">
        <v>43355</v>
      </c>
      <c r="G2390" s="2"/>
      <c r="H2390" s="3771" t="s">
        <v>17</v>
      </c>
      <c r="I2390" s="3" t="s">
        <v>41</v>
      </c>
      <c r="J2390" s="3" t="s">
        <v>19</v>
      </c>
      <c r="K2390" s="3"/>
    </row>
    <row r="2391" spans="1:11" ht="57.6" x14ac:dyDescent="0.3">
      <c r="A2391" s="3" t="s">
        <v>4856</v>
      </c>
      <c r="B2391" s="3" t="str">
        <f>"042278046"</f>
        <v>042278046</v>
      </c>
      <c r="C2391" s="3" t="s">
        <v>536</v>
      </c>
      <c r="D2391" s="3" t="s">
        <v>4860</v>
      </c>
      <c r="E2391" s="3" t="s">
        <v>83</v>
      </c>
      <c r="F2391" s="2">
        <v>43355</v>
      </c>
      <c r="G2391" s="2"/>
      <c r="H2391" s="3772" t="s">
        <v>17</v>
      </c>
      <c r="I2391" s="3" t="s">
        <v>41</v>
      </c>
      <c r="J2391" s="3" t="s">
        <v>19</v>
      </c>
      <c r="K2391" s="3"/>
    </row>
    <row r="2392" spans="1:11" ht="57.6" x14ac:dyDescent="0.3">
      <c r="A2392" s="3" t="s">
        <v>4856</v>
      </c>
      <c r="B2392" s="3" t="str">
        <f>"042278059"</f>
        <v>042278059</v>
      </c>
      <c r="C2392" s="3" t="s">
        <v>536</v>
      </c>
      <c r="D2392" s="3" t="s">
        <v>4861</v>
      </c>
      <c r="E2392" s="3" t="s">
        <v>83</v>
      </c>
      <c r="F2392" s="2">
        <v>43355</v>
      </c>
      <c r="G2392" s="2"/>
      <c r="H2392" s="3773" t="s">
        <v>17</v>
      </c>
      <c r="I2392" s="3" t="s">
        <v>41</v>
      </c>
      <c r="J2392" s="3" t="s">
        <v>19</v>
      </c>
      <c r="K2392" s="3"/>
    </row>
    <row r="2393" spans="1:11" ht="57.6" x14ac:dyDescent="0.3">
      <c r="A2393" s="3" t="s">
        <v>4862</v>
      </c>
      <c r="B2393" s="3" t="str">
        <f>"041967011"</f>
        <v>041967011</v>
      </c>
      <c r="C2393" s="3" t="s">
        <v>536</v>
      </c>
      <c r="D2393" s="3" t="s">
        <v>4863</v>
      </c>
      <c r="E2393" s="3" t="s">
        <v>263</v>
      </c>
      <c r="F2393" s="2">
        <v>43282</v>
      </c>
      <c r="G2393" s="2"/>
      <c r="H2393" s="3774" t="s">
        <v>17</v>
      </c>
      <c r="I2393" s="3" t="s">
        <v>41</v>
      </c>
      <c r="J2393" s="3" t="s">
        <v>19</v>
      </c>
      <c r="K2393" s="3"/>
    </row>
    <row r="2394" spans="1:11" ht="57.6" x14ac:dyDescent="0.3">
      <c r="A2394" s="3" t="s">
        <v>4862</v>
      </c>
      <c r="B2394" s="3" t="str">
        <f>"041967023"</f>
        <v>041967023</v>
      </c>
      <c r="C2394" s="3" t="s">
        <v>536</v>
      </c>
      <c r="D2394" s="3" t="s">
        <v>4864</v>
      </c>
      <c r="E2394" s="3" t="s">
        <v>263</v>
      </c>
      <c r="F2394" s="2">
        <v>43282</v>
      </c>
      <c r="G2394" s="2"/>
      <c r="H2394" s="3775" t="s">
        <v>17</v>
      </c>
      <c r="I2394" s="3" t="s">
        <v>41</v>
      </c>
      <c r="J2394" s="3" t="s">
        <v>19</v>
      </c>
      <c r="K2394" s="3"/>
    </row>
    <row r="2395" spans="1:11" ht="57.6" x14ac:dyDescent="0.3">
      <c r="A2395" s="3" t="s">
        <v>4862</v>
      </c>
      <c r="B2395" s="3" t="str">
        <f>"041967035"</f>
        <v>041967035</v>
      </c>
      <c r="C2395" s="3" t="s">
        <v>536</v>
      </c>
      <c r="D2395" s="3" t="s">
        <v>4865</v>
      </c>
      <c r="E2395" s="3" t="s">
        <v>263</v>
      </c>
      <c r="F2395" s="2">
        <v>43282</v>
      </c>
      <c r="G2395" s="2"/>
      <c r="H2395" s="3776" t="s">
        <v>17</v>
      </c>
      <c r="I2395" s="3" t="s">
        <v>41</v>
      </c>
      <c r="J2395" s="3" t="s">
        <v>19</v>
      </c>
      <c r="K2395" s="3"/>
    </row>
    <row r="2396" spans="1:11" ht="57.6" x14ac:dyDescent="0.3">
      <c r="A2396" s="3" t="s">
        <v>4862</v>
      </c>
      <c r="B2396" s="3" t="str">
        <f>"041967047"</f>
        <v>041967047</v>
      </c>
      <c r="C2396" s="3" t="s">
        <v>536</v>
      </c>
      <c r="D2396" s="3" t="s">
        <v>4866</v>
      </c>
      <c r="E2396" s="3" t="s">
        <v>263</v>
      </c>
      <c r="F2396" s="2">
        <v>43282</v>
      </c>
      <c r="G2396" s="2"/>
      <c r="H2396" s="3777" t="s">
        <v>17</v>
      </c>
      <c r="I2396" s="3" t="s">
        <v>41</v>
      </c>
      <c r="J2396" s="3" t="s">
        <v>19</v>
      </c>
      <c r="K2396" s="3"/>
    </row>
    <row r="2397" spans="1:11" ht="57.6" x14ac:dyDescent="0.3">
      <c r="A2397" s="3" t="s">
        <v>4862</v>
      </c>
      <c r="B2397" s="3" t="str">
        <f>"041967050"</f>
        <v>041967050</v>
      </c>
      <c r="C2397" s="3" t="s">
        <v>536</v>
      </c>
      <c r="D2397" s="3" t="s">
        <v>4867</v>
      </c>
      <c r="E2397" s="3" t="s">
        <v>263</v>
      </c>
      <c r="F2397" s="2">
        <v>43282</v>
      </c>
      <c r="G2397" s="2"/>
      <c r="H2397" s="3778" t="s">
        <v>17</v>
      </c>
      <c r="I2397" s="3" t="s">
        <v>41</v>
      </c>
      <c r="J2397" s="3" t="s">
        <v>19</v>
      </c>
      <c r="K2397" s="3"/>
    </row>
    <row r="2398" spans="1:11" ht="43.2" x14ac:dyDescent="0.3">
      <c r="A2398" s="3" t="s">
        <v>4868</v>
      </c>
      <c r="B2398" s="3" t="str">
        <f>"040842041"</f>
        <v>040842041</v>
      </c>
      <c r="C2398" s="3" t="s">
        <v>536</v>
      </c>
      <c r="D2398" s="3" t="s">
        <v>4869</v>
      </c>
      <c r="E2398" s="3" t="s">
        <v>64</v>
      </c>
      <c r="F2398" s="2">
        <v>44200</v>
      </c>
      <c r="G2398" s="2"/>
      <c r="H2398" s="3779" t="s">
        <v>17</v>
      </c>
      <c r="I2398" s="3" t="s">
        <v>41</v>
      </c>
      <c r="J2398" s="3" t="s">
        <v>19</v>
      </c>
      <c r="K2398" s="3"/>
    </row>
    <row r="2399" spans="1:11" ht="43.2" x14ac:dyDescent="0.3">
      <c r="A2399" s="3" t="s">
        <v>4868</v>
      </c>
      <c r="B2399" s="3" t="str">
        <f>"040842142"</f>
        <v>040842142</v>
      </c>
      <c r="C2399" s="3" t="s">
        <v>536</v>
      </c>
      <c r="D2399" s="3" t="s">
        <v>4870</v>
      </c>
      <c r="E2399" s="3" t="s">
        <v>64</v>
      </c>
      <c r="F2399" s="2">
        <v>43952</v>
      </c>
      <c r="G2399" s="2"/>
      <c r="H2399" s="3780" t="s">
        <v>17</v>
      </c>
      <c r="I2399" s="3" t="s">
        <v>41</v>
      </c>
      <c r="J2399" s="3" t="s">
        <v>19</v>
      </c>
      <c r="K2399" s="3"/>
    </row>
    <row r="2400" spans="1:11" ht="43.2" x14ac:dyDescent="0.3">
      <c r="A2400" s="3" t="s">
        <v>4868</v>
      </c>
      <c r="B2400" s="3" t="str">
        <f>"040842243"</f>
        <v>040842243</v>
      </c>
      <c r="C2400" s="3" t="s">
        <v>536</v>
      </c>
      <c r="D2400" s="3" t="s">
        <v>4871</v>
      </c>
      <c r="E2400" s="3" t="s">
        <v>64</v>
      </c>
      <c r="F2400" s="2">
        <v>43739</v>
      </c>
      <c r="G2400" s="2"/>
      <c r="H2400" s="3781" t="s">
        <v>17</v>
      </c>
      <c r="I2400" s="3" t="s">
        <v>41</v>
      </c>
      <c r="J2400" s="3" t="s">
        <v>19</v>
      </c>
      <c r="K2400" s="3"/>
    </row>
    <row r="2401" spans="1:11" ht="72" x14ac:dyDescent="0.3">
      <c r="A2401" s="3" t="s">
        <v>4872</v>
      </c>
      <c r="B2401" s="3" t="str">
        <f>"040709026"</f>
        <v>040709026</v>
      </c>
      <c r="C2401" s="3" t="s">
        <v>536</v>
      </c>
      <c r="D2401" s="3" t="s">
        <v>4873</v>
      </c>
      <c r="E2401" s="3" t="s">
        <v>1798</v>
      </c>
      <c r="F2401" s="2">
        <v>43445</v>
      </c>
      <c r="G2401" s="2">
        <v>44196</v>
      </c>
      <c r="H2401" s="3782" t="s">
        <v>17</v>
      </c>
      <c r="I2401" s="3" t="s">
        <v>41</v>
      </c>
      <c r="J2401" s="3" t="s">
        <v>19</v>
      </c>
      <c r="K2401" s="3" t="s">
        <v>4874</v>
      </c>
    </row>
    <row r="2402" spans="1:11" ht="72" x14ac:dyDescent="0.3">
      <c r="A2402" s="3" t="s">
        <v>4872</v>
      </c>
      <c r="B2402" s="3" t="str">
        <f>"040709141"</f>
        <v>040709141</v>
      </c>
      <c r="C2402" s="3" t="s">
        <v>536</v>
      </c>
      <c r="D2402" s="3" t="s">
        <v>4875</v>
      </c>
      <c r="E2402" s="3" t="s">
        <v>1798</v>
      </c>
      <c r="F2402" s="2">
        <v>43445</v>
      </c>
      <c r="G2402" s="2">
        <v>44196</v>
      </c>
      <c r="H2402" s="3783" t="s">
        <v>17</v>
      </c>
      <c r="I2402" s="3" t="s">
        <v>41</v>
      </c>
      <c r="J2402" s="3" t="s">
        <v>19</v>
      </c>
      <c r="K2402" s="3" t="s">
        <v>4874</v>
      </c>
    </row>
    <row r="2403" spans="1:11" ht="57.6" x14ac:dyDescent="0.3">
      <c r="A2403" s="3" t="s">
        <v>4876</v>
      </c>
      <c r="B2403" s="3" t="str">
        <f>"042636050"</f>
        <v>042636050</v>
      </c>
      <c r="C2403" s="3" t="s">
        <v>536</v>
      </c>
      <c r="D2403" s="3" t="s">
        <v>4877</v>
      </c>
      <c r="E2403" s="3" t="s">
        <v>99</v>
      </c>
      <c r="F2403" s="2">
        <v>43284</v>
      </c>
      <c r="G2403" s="2"/>
      <c r="H2403" s="3784" t="s">
        <v>17</v>
      </c>
      <c r="I2403" s="3" t="s">
        <v>41</v>
      </c>
      <c r="J2403" s="3" t="s">
        <v>19</v>
      </c>
      <c r="K2403" s="3"/>
    </row>
    <row r="2404" spans="1:11" ht="43.2" x14ac:dyDescent="0.3">
      <c r="A2404" s="3" t="s">
        <v>4878</v>
      </c>
      <c r="B2404" s="3" t="str">
        <f>"040461028"</f>
        <v>040461028</v>
      </c>
      <c r="C2404" s="3" t="s">
        <v>4167</v>
      </c>
      <c r="D2404" s="3" t="s">
        <v>4879</v>
      </c>
      <c r="E2404" s="3" t="s">
        <v>1186</v>
      </c>
      <c r="F2404" s="2">
        <v>43297</v>
      </c>
      <c r="G2404" s="2"/>
      <c r="H2404" s="3785" t="s">
        <v>17</v>
      </c>
      <c r="I2404" s="3" t="s">
        <v>41</v>
      </c>
      <c r="J2404" s="3" t="s">
        <v>19</v>
      </c>
      <c r="K2404" s="3"/>
    </row>
    <row r="2405" spans="1:11" ht="43.2" x14ac:dyDescent="0.3">
      <c r="A2405" s="3" t="s">
        <v>4878</v>
      </c>
      <c r="B2405" s="3" t="str">
        <f>"040461143"</f>
        <v>040461143</v>
      </c>
      <c r="C2405" s="3" t="s">
        <v>4167</v>
      </c>
      <c r="D2405" s="3" t="s">
        <v>4880</v>
      </c>
      <c r="E2405" s="3" t="s">
        <v>1186</v>
      </c>
      <c r="F2405" s="2">
        <v>43297</v>
      </c>
      <c r="G2405" s="2"/>
      <c r="H2405" s="3786" t="s">
        <v>17</v>
      </c>
      <c r="I2405" s="3" t="s">
        <v>41</v>
      </c>
      <c r="J2405" s="3" t="s">
        <v>19</v>
      </c>
      <c r="K2405" s="3"/>
    </row>
    <row r="2406" spans="1:11" ht="43.2" x14ac:dyDescent="0.3">
      <c r="A2406" s="3" t="s">
        <v>4878</v>
      </c>
      <c r="B2406" s="3" t="str">
        <f>"040461194"</f>
        <v>040461194</v>
      </c>
      <c r="C2406" s="3" t="s">
        <v>4167</v>
      </c>
      <c r="D2406" s="3" t="s">
        <v>4881</v>
      </c>
      <c r="E2406" s="3" t="s">
        <v>1186</v>
      </c>
      <c r="F2406" s="2">
        <v>43297</v>
      </c>
      <c r="G2406" s="2"/>
      <c r="H2406" s="3787" t="s">
        <v>17</v>
      </c>
      <c r="I2406" s="3" t="s">
        <v>41</v>
      </c>
      <c r="J2406" s="3" t="s">
        <v>19</v>
      </c>
      <c r="K2406" s="3"/>
    </row>
    <row r="2407" spans="1:11" ht="43.2" x14ac:dyDescent="0.3">
      <c r="A2407" s="3" t="s">
        <v>4882</v>
      </c>
      <c r="B2407" s="3" t="str">
        <f>"040225017"</f>
        <v>040225017</v>
      </c>
      <c r="C2407" s="3" t="s">
        <v>4167</v>
      </c>
      <c r="D2407" s="3" t="s">
        <v>4883</v>
      </c>
      <c r="E2407" s="3" t="s">
        <v>56</v>
      </c>
      <c r="F2407" s="2">
        <v>41793</v>
      </c>
      <c r="G2407" s="2"/>
      <c r="H2407" s="3788" t="s">
        <v>17</v>
      </c>
      <c r="I2407" s="3789" t="s">
        <v>18</v>
      </c>
      <c r="J2407" s="3" t="s">
        <v>19</v>
      </c>
      <c r="K2407" s="3"/>
    </row>
    <row r="2408" spans="1:11" ht="43.2" x14ac:dyDescent="0.3">
      <c r="A2408" s="3" t="s">
        <v>4884</v>
      </c>
      <c r="B2408" s="3" t="str">
        <f>"041849151"</f>
        <v>041849151</v>
      </c>
      <c r="C2408" s="3" t="s">
        <v>4167</v>
      </c>
      <c r="D2408" s="3" t="s">
        <v>4885</v>
      </c>
      <c r="E2408" s="3" t="s">
        <v>263</v>
      </c>
      <c r="F2408" s="2">
        <v>43282</v>
      </c>
      <c r="G2408" s="2"/>
      <c r="H2408" s="3790" t="s">
        <v>17</v>
      </c>
      <c r="I2408" s="3" t="s">
        <v>41</v>
      </c>
      <c r="J2408" s="3" t="s">
        <v>19</v>
      </c>
      <c r="K2408" s="3"/>
    </row>
    <row r="2409" spans="1:11" ht="43.2" x14ac:dyDescent="0.3">
      <c r="A2409" s="3" t="s">
        <v>4884</v>
      </c>
      <c r="B2409" s="3" t="str">
        <f>"041849023"</f>
        <v>041849023</v>
      </c>
      <c r="C2409" s="3" t="s">
        <v>4167</v>
      </c>
      <c r="D2409" s="3" t="s">
        <v>4886</v>
      </c>
      <c r="E2409" s="3" t="s">
        <v>263</v>
      </c>
      <c r="F2409" s="2">
        <v>43282</v>
      </c>
      <c r="G2409" s="2"/>
      <c r="H2409" s="3791" t="s">
        <v>17</v>
      </c>
      <c r="I2409" s="3" t="s">
        <v>41</v>
      </c>
      <c r="J2409" s="3" t="s">
        <v>19</v>
      </c>
      <c r="K2409" s="3"/>
    </row>
    <row r="2410" spans="1:11" ht="43.2" x14ac:dyDescent="0.3">
      <c r="A2410" s="3" t="s">
        <v>4884</v>
      </c>
      <c r="B2410" s="3" t="str">
        <f>"041849098"</f>
        <v>041849098</v>
      </c>
      <c r="C2410" s="3" t="s">
        <v>4167</v>
      </c>
      <c r="D2410" s="3" t="s">
        <v>4887</v>
      </c>
      <c r="E2410" s="3" t="s">
        <v>263</v>
      </c>
      <c r="F2410" s="2">
        <v>43282</v>
      </c>
      <c r="G2410" s="2"/>
      <c r="H2410" s="3792" t="s">
        <v>17</v>
      </c>
      <c r="I2410" s="3" t="s">
        <v>41</v>
      </c>
      <c r="J2410" s="3" t="s">
        <v>19</v>
      </c>
      <c r="K2410" s="3"/>
    </row>
    <row r="2411" spans="1:11" ht="43.2" x14ac:dyDescent="0.3">
      <c r="A2411" s="3" t="s">
        <v>4888</v>
      </c>
      <c r="B2411" s="3" t="str">
        <f>"042392023"</f>
        <v>042392023</v>
      </c>
      <c r="C2411" s="3" t="s">
        <v>4167</v>
      </c>
      <c r="D2411" s="3" t="s">
        <v>4889</v>
      </c>
      <c r="E2411" s="3" t="s">
        <v>685</v>
      </c>
      <c r="F2411" s="2">
        <v>43545</v>
      </c>
      <c r="G2411" s="2">
        <v>43881</v>
      </c>
      <c r="H2411" s="3793" t="s">
        <v>17</v>
      </c>
      <c r="I2411" s="3" t="s">
        <v>41</v>
      </c>
      <c r="J2411" s="3" t="s">
        <v>19</v>
      </c>
      <c r="K2411" s="3"/>
    </row>
    <row r="2412" spans="1:11" ht="43.2" x14ac:dyDescent="0.3">
      <c r="A2412" s="3" t="s">
        <v>4890</v>
      </c>
      <c r="B2412" s="3" t="str">
        <f>"040149039"</f>
        <v>040149039</v>
      </c>
      <c r="C2412" s="3" t="s">
        <v>4167</v>
      </c>
      <c r="D2412" s="3" t="s">
        <v>4891</v>
      </c>
      <c r="E2412" s="3" t="s">
        <v>27</v>
      </c>
      <c r="F2412" s="2">
        <v>43983</v>
      </c>
      <c r="G2412" s="2"/>
      <c r="H2412" s="3794" t="s">
        <v>17</v>
      </c>
      <c r="I2412" s="3795" t="s">
        <v>18</v>
      </c>
      <c r="J2412" s="3" t="s">
        <v>19</v>
      </c>
      <c r="K2412" s="3"/>
    </row>
    <row r="2413" spans="1:11" ht="43.2" x14ac:dyDescent="0.3">
      <c r="A2413" s="3" t="s">
        <v>4890</v>
      </c>
      <c r="B2413" s="3" t="str">
        <f>"040149546"</f>
        <v>040149546</v>
      </c>
      <c r="C2413" s="3" t="s">
        <v>4167</v>
      </c>
      <c r="D2413" s="3" t="s">
        <v>4892</v>
      </c>
      <c r="E2413" s="3" t="s">
        <v>27</v>
      </c>
      <c r="F2413" s="2">
        <v>43952</v>
      </c>
      <c r="G2413" s="2"/>
      <c r="H2413" s="3796" t="s">
        <v>17</v>
      </c>
      <c r="I2413" s="3797" t="s">
        <v>18</v>
      </c>
      <c r="J2413" s="3" t="s">
        <v>19</v>
      </c>
      <c r="K2413" s="3"/>
    </row>
    <row r="2414" spans="1:11" ht="43.2" x14ac:dyDescent="0.3">
      <c r="A2414" s="3" t="s">
        <v>4893</v>
      </c>
      <c r="B2414" s="3" t="str">
        <f>"040723013"</f>
        <v>040723013</v>
      </c>
      <c r="C2414" s="3" t="s">
        <v>4167</v>
      </c>
      <c r="D2414" s="3" t="s">
        <v>4894</v>
      </c>
      <c r="E2414" s="3" t="s">
        <v>99</v>
      </c>
      <c r="F2414" s="2">
        <v>43284</v>
      </c>
      <c r="G2414" s="2"/>
      <c r="H2414" s="3798" t="s">
        <v>17</v>
      </c>
      <c r="I2414" s="3" t="s">
        <v>41</v>
      </c>
      <c r="J2414" s="3" t="s">
        <v>19</v>
      </c>
      <c r="K2414" s="3"/>
    </row>
    <row r="2415" spans="1:11" ht="43.2" x14ac:dyDescent="0.3">
      <c r="A2415" s="3" t="s">
        <v>4893</v>
      </c>
      <c r="B2415" s="3" t="str">
        <f>"040723076"</f>
        <v>040723076</v>
      </c>
      <c r="C2415" s="3" t="s">
        <v>4167</v>
      </c>
      <c r="D2415" s="3" t="s">
        <v>4895</v>
      </c>
      <c r="E2415" s="3" t="s">
        <v>99</v>
      </c>
      <c r="F2415" s="2">
        <v>43284</v>
      </c>
      <c r="G2415" s="2"/>
      <c r="H2415" s="3799" t="s">
        <v>17</v>
      </c>
      <c r="I2415" s="3" t="s">
        <v>41</v>
      </c>
      <c r="J2415" s="3" t="s">
        <v>19</v>
      </c>
      <c r="K2415" s="3"/>
    </row>
    <row r="2416" spans="1:11" ht="43.2" x14ac:dyDescent="0.3">
      <c r="A2416" s="3" t="s">
        <v>4893</v>
      </c>
      <c r="B2416" s="3" t="str">
        <f>"040723126"</f>
        <v>040723126</v>
      </c>
      <c r="C2416" s="3" t="s">
        <v>4167</v>
      </c>
      <c r="D2416" s="3" t="s">
        <v>4896</v>
      </c>
      <c r="E2416" s="3" t="s">
        <v>99</v>
      </c>
      <c r="F2416" s="2">
        <v>43284</v>
      </c>
      <c r="G2416" s="2"/>
      <c r="H2416" s="3800" t="s">
        <v>17</v>
      </c>
      <c r="I2416" s="3" t="s">
        <v>41</v>
      </c>
      <c r="J2416" s="3" t="s">
        <v>19</v>
      </c>
      <c r="K2416" s="3"/>
    </row>
    <row r="2417" spans="1:11" ht="43.2" x14ac:dyDescent="0.3">
      <c r="A2417" s="3" t="s">
        <v>4893</v>
      </c>
      <c r="B2417" s="3" t="str">
        <f>"040723189"</f>
        <v>040723189</v>
      </c>
      <c r="C2417" s="3" t="s">
        <v>4167</v>
      </c>
      <c r="D2417" s="3" t="s">
        <v>4897</v>
      </c>
      <c r="E2417" s="3" t="s">
        <v>99</v>
      </c>
      <c r="F2417" s="2">
        <v>43284</v>
      </c>
      <c r="G2417" s="2"/>
      <c r="H2417" s="3801" t="s">
        <v>17</v>
      </c>
      <c r="I2417" s="3" t="s">
        <v>41</v>
      </c>
      <c r="J2417" s="3" t="s">
        <v>19</v>
      </c>
      <c r="K2417" s="3"/>
    </row>
    <row r="2418" spans="1:11" ht="57.6" x14ac:dyDescent="0.3">
      <c r="A2418" s="3" t="s">
        <v>4898</v>
      </c>
      <c r="B2418" s="3" t="str">
        <f>"041144027"</f>
        <v>041144027</v>
      </c>
      <c r="C2418" s="3" t="s">
        <v>536</v>
      </c>
      <c r="D2418" s="3" t="s">
        <v>4899</v>
      </c>
      <c r="E2418" s="3" t="s">
        <v>371</v>
      </c>
      <c r="F2418" s="2">
        <v>43290</v>
      </c>
      <c r="G2418" s="2"/>
      <c r="H2418" s="3802" t="s">
        <v>17</v>
      </c>
      <c r="I2418" s="3" t="s">
        <v>41</v>
      </c>
      <c r="J2418" s="3" t="s">
        <v>19</v>
      </c>
      <c r="K2418" s="3"/>
    </row>
    <row r="2419" spans="1:11" ht="57.6" x14ac:dyDescent="0.3">
      <c r="A2419" s="3" t="s">
        <v>4898</v>
      </c>
      <c r="B2419" s="3" t="str">
        <f>"041144066"</f>
        <v>041144066</v>
      </c>
      <c r="C2419" s="3" t="s">
        <v>536</v>
      </c>
      <c r="D2419" s="3" t="s">
        <v>4900</v>
      </c>
      <c r="E2419" s="3" t="s">
        <v>371</v>
      </c>
      <c r="F2419" s="2">
        <v>43290</v>
      </c>
      <c r="G2419" s="2"/>
      <c r="H2419" s="3803" t="s">
        <v>17</v>
      </c>
      <c r="I2419" s="3" t="s">
        <v>41</v>
      </c>
      <c r="J2419" s="3" t="s">
        <v>19</v>
      </c>
      <c r="K2419" s="3"/>
    </row>
    <row r="2420" spans="1:11" ht="57.6" x14ac:dyDescent="0.3">
      <c r="A2420" s="3" t="s">
        <v>4898</v>
      </c>
      <c r="B2420" s="3" t="str">
        <f>"041144104"</f>
        <v>041144104</v>
      </c>
      <c r="C2420" s="3" t="s">
        <v>536</v>
      </c>
      <c r="D2420" s="3" t="s">
        <v>4901</v>
      </c>
      <c r="E2420" s="3" t="s">
        <v>371</v>
      </c>
      <c r="F2420" s="2">
        <v>43290</v>
      </c>
      <c r="G2420" s="2"/>
      <c r="H2420" s="3804" t="s">
        <v>17</v>
      </c>
      <c r="I2420" s="3" t="s">
        <v>41</v>
      </c>
      <c r="J2420" s="3" t="s">
        <v>19</v>
      </c>
      <c r="K2420" s="3"/>
    </row>
    <row r="2421" spans="1:11" ht="57.6" x14ac:dyDescent="0.3">
      <c r="A2421" s="3" t="s">
        <v>4902</v>
      </c>
      <c r="B2421" s="3" t="str">
        <f>"016334029"</f>
        <v>016334029</v>
      </c>
      <c r="C2421" s="3" t="s">
        <v>4903</v>
      </c>
      <c r="D2421" s="3" t="s">
        <v>4904</v>
      </c>
      <c r="E2421" s="3" t="s">
        <v>4905</v>
      </c>
      <c r="F2421" s="2">
        <v>43773</v>
      </c>
      <c r="G2421" s="2">
        <v>44470</v>
      </c>
      <c r="H2421" s="3805" t="s">
        <v>17</v>
      </c>
      <c r="I2421" s="3" t="s">
        <v>41</v>
      </c>
      <c r="J2421" s="3" t="s">
        <v>19</v>
      </c>
      <c r="K2421" s="3"/>
    </row>
    <row r="2422" spans="1:11" ht="43.2" x14ac:dyDescent="0.3">
      <c r="A2422" s="3" t="s">
        <v>4906</v>
      </c>
      <c r="B2422" s="3" t="str">
        <f>"018949014"</f>
        <v>018949014</v>
      </c>
      <c r="C2422" s="3" t="s">
        <v>4452</v>
      </c>
      <c r="D2422" s="3" t="s">
        <v>4907</v>
      </c>
      <c r="E2422" s="3" t="s">
        <v>4908</v>
      </c>
      <c r="F2422" s="2">
        <v>43524</v>
      </c>
      <c r="G2422" s="2"/>
      <c r="H2422" s="3806" t="s">
        <v>37</v>
      </c>
      <c r="I2422" s="3807" t="s">
        <v>18</v>
      </c>
      <c r="J2422" s="3" t="s">
        <v>19</v>
      </c>
      <c r="K2422" s="3"/>
    </row>
    <row r="2423" spans="1:11" ht="57.6" x14ac:dyDescent="0.3">
      <c r="A2423" s="3" t="s">
        <v>4909</v>
      </c>
      <c r="B2423" s="3" t="str">
        <f>"044898017"</f>
        <v>044898017</v>
      </c>
      <c r="C2423" s="3" t="s">
        <v>4910</v>
      </c>
      <c r="D2423" s="3" t="s">
        <v>4911</v>
      </c>
      <c r="E2423" s="3" t="s">
        <v>3690</v>
      </c>
      <c r="F2423" s="2">
        <v>44126</v>
      </c>
      <c r="G2423" s="2"/>
      <c r="H2423" s="3808" t="s">
        <v>17</v>
      </c>
      <c r="I2423" s="3" t="s">
        <v>4912</v>
      </c>
      <c r="J2423" s="3" t="s">
        <v>240</v>
      </c>
      <c r="K2423" s="3"/>
    </row>
    <row r="2424" spans="1:11" ht="57.6" x14ac:dyDescent="0.3">
      <c r="A2424" s="3" t="s">
        <v>4909</v>
      </c>
      <c r="B2424" s="3" t="str">
        <f>"044898029"</f>
        <v>044898029</v>
      </c>
      <c r="C2424" s="3" t="s">
        <v>4910</v>
      </c>
      <c r="D2424" s="3" t="s">
        <v>4913</v>
      </c>
      <c r="E2424" s="3" t="s">
        <v>3690</v>
      </c>
      <c r="F2424" s="2">
        <v>44126</v>
      </c>
      <c r="G2424" s="2"/>
      <c r="H2424" s="3809" t="s">
        <v>17</v>
      </c>
      <c r="I2424" s="3" t="s">
        <v>178</v>
      </c>
      <c r="J2424" s="3" t="s">
        <v>240</v>
      </c>
      <c r="K2424" s="3"/>
    </row>
    <row r="2425" spans="1:11" ht="57.6" x14ac:dyDescent="0.3">
      <c r="A2425" s="3" t="s">
        <v>4914</v>
      </c>
      <c r="B2425" s="3" t="str">
        <f>"020430029"</f>
        <v>020430029</v>
      </c>
      <c r="C2425" s="3" t="s">
        <v>4915</v>
      </c>
      <c r="D2425" s="3" t="s">
        <v>4916</v>
      </c>
      <c r="E2425" s="3" t="s">
        <v>24</v>
      </c>
      <c r="F2425" s="2">
        <v>44075</v>
      </c>
      <c r="G2425" s="2">
        <v>44196</v>
      </c>
      <c r="H2425" s="3810" t="s">
        <v>37</v>
      </c>
      <c r="I2425" s="3" t="s">
        <v>41</v>
      </c>
      <c r="J2425" s="3" t="s">
        <v>156</v>
      </c>
      <c r="K2425" s="3"/>
    </row>
    <row r="2426" spans="1:11" ht="43.2" x14ac:dyDescent="0.3">
      <c r="A2426" s="3" t="s">
        <v>4917</v>
      </c>
      <c r="B2426" s="3" t="str">
        <f>"042415303"</f>
        <v>042415303</v>
      </c>
      <c r="C2426" s="3" t="s">
        <v>1989</v>
      </c>
      <c r="D2426" s="3" t="s">
        <v>4918</v>
      </c>
      <c r="E2426" s="3" t="s">
        <v>1353</v>
      </c>
      <c r="F2426" s="2">
        <v>43913</v>
      </c>
      <c r="G2426" s="2"/>
      <c r="H2426" s="3811" t="s">
        <v>17</v>
      </c>
      <c r="I2426" s="3812" t="s">
        <v>18</v>
      </c>
      <c r="J2426" s="3" t="s">
        <v>19</v>
      </c>
      <c r="K2426" s="3"/>
    </row>
    <row r="2427" spans="1:11" ht="43.2" x14ac:dyDescent="0.3">
      <c r="A2427" s="3" t="s">
        <v>4917</v>
      </c>
      <c r="B2427" s="3" t="str">
        <f>"042415380"</f>
        <v>042415380</v>
      </c>
      <c r="C2427" s="3" t="s">
        <v>1989</v>
      </c>
      <c r="D2427" s="3" t="s">
        <v>4919</v>
      </c>
      <c r="E2427" s="3" t="s">
        <v>1353</v>
      </c>
      <c r="F2427" s="2">
        <v>43983</v>
      </c>
      <c r="G2427" s="2"/>
      <c r="H2427" s="3813" t="s">
        <v>17</v>
      </c>
      <c r="I2427" s="3814" t="s">
        <v>18</v>
      </c>
      <c r="J2427" s="3" t="s">
        <v>19</v>
      </c>
      <c r="K2427" s="3"/>
    </row>
    <row r="2428" spans="1:11" ht="43.2" x14ac:dyDescent="0.3">
      <c r="A2428" s="3" t="s">
        <v>4917</v>
      </c>
      <c r="B2428" s="3" t="str">
        <f>"042415467"</f>
        <v>042415467</v>
      </c>
      <c r="C2428" s="3" t="s">
        <v>1989</v>
      </c>
      <c r="D2428" s="3" t="s">
        <v>4920</v>
      </c>
      <c r="E2428" s="3" t="s">
        <v>1353</v>
      </c>
      <c r="F2428" s="2">
        <v>43913</v>
      </c>
      <c r="G2428" s="2"/>
      <c r="H2428" s="3815" t="s">
        <v>17</v>
      </c>
      <c r="I2428" s="3816" t="s">
        <v>18</v>
      </c>
      <c r="J2428" s="3" t="s">
        <v>19</v>
      </c>
      <c r="K2428" s="3"/>
    </row>
    <row r="2429" spans="1:11" ht="57.6" x14ac:dyDescent="0.3">
      <c r="A2429" s="3" t="s">
        <v>4921</v>
      </c>
      <c r="B2429" s="3" t="str">
        <f>"041691054"</f>
        <v>041691054</v>
      </c>
      <c r="C2429" s="3" t="s">
        <v>4922</v>
      </c>
      <c r="D2429" s="3" t="s">
        <v>4923</v>
      </c>
      <c r="E2429" s="3" t="s">
        <v>83</v>
      </c>
      <c r="F2429" s="2">
        <v>44004</v>
      </c>
      <c r="G2429" s="2"/>
      <c r="H2429" s="3817" t="s">
        <v>17</v>
      </c>
      <c r="I2429" s="3" t="s">
        <v>178</v>
      </c>
      <c r="J2429" s="3" t="s">
        <v>19</v>
      </c>
      <c r="K2429" s="3"/>
    </row>
    <row r="2430" spans="1:11" ht="57.6" x14ac:dyDescent="0.3">
      <c r="A2430" s="3" t="s">
        <v>4921</v>
      </c>
      <c r="B2430" s="3" t="str">
        <f>"041691181"</f>
        <v>041691181</v>
      </c>
      <c r="C2430" s="3" t="s">
        <v>4922</v>
      </c>
      <c r="D2430" s="3" t="s">
        <v>4924</v>
      </c>
      <c r="E2430" s="3" t="s">
        <v>83</v>
      </c>
      <c r="F2430" s="2">
        <v>44249</v>
      </c>
      <c r="G2430" s="2"/>
      <c r="H2430" s="3818" t="s">
        <v>17</v>
      </c>
      <c r="I2430" s="3" t="s">
        <v>41</v>
      </c>
      <c r="J2430" s="3" t="s">
        <v>19</v>
      </c>
      <c r="K2430" s="3"/>
    </row>
    <row r="2431" spans="1:11" ht="43.2" x14ac:dyDescent="0.3">
      <c r="A2431" s="3" t="s">
        <v>4925</v>
      </c>
      <c r="B2431" s="3" t="str">
        <f>"028834137"</f>
        <v>028834137</v>
      </c>
      <c r="C2431" s="3" t="s">
        <v>4926</v>
      </c>
      <c r="D2431" s="3" t="s">
        <v>4927</v>
      </c>
      <c r="E2431" s="3" t="s">
        <v>412</v>
      </c>
      <c r="F2431" s="2">
        <v>42534</v>
      </c>
      <c r="G2431" s="2"/>
      <c r="H2431" s="3819" t="s">
        <v>17</v>
      </c>
      <c r="I2431" s="3820" t="s">
        <v>18</v>
      </c>
      <c r="J2431" s="3" t="s">
        <v>19</v>
      </c>
      <c r="K2431" s="3"/>
    </row>
    <row r="2432" spans="1:11" ht="43.2" x14ac:dyDescent="0.3">
      <c r="A2432" s="3" t="s">
        <v>4928</v>
      </c>
      <c r="B2432" s="3" t="str">
        <f>"041697107"</f>
        <v>041697107</v>
      </c>
      <c r="C2432" s="3" t="s">
        <v>4922</v>
      </c>
      <c r="D2432" s="3" t="s">
        <v>4929</v>
      </c>
      <c r="E2432" s="3" t="s">
        <v>64</v>
      </c>
      <c r="F2432" s="2">
        <v>43374</v>
      </c>
      <c r="G2432" s="2"/>
      <c r="H2432" s="3821" t="s">
        <v>17</v>
      </c>
      <c r="I2432" s="3" t="s">
        <v>41</v>
      </c>
      <c r="J2432" s="3" t="s">
        <v>19</v>
      </c>
      <c r="K2432" s="3"/>
    </row>
    <row r="2433" spans="1:11" ht="43.2" x14ac:dyDescent="0.3">
      <c r="A2433" s="3" t="s">
        <v>4928</v>
      </c>
      <c r="B2433" s="3" t="str">
        <f>"041697246"</f>
        <v>041697246</v>
      </c>
      <c r="C2433" s="3" t="s">
        <v>4922</v>
      </c>
      <c r="D2433" s="3" t="s">
        <v>4930</v>
      </c>
      <c r="E2433" s="3" t="s">
        <v>64</v>
      </c>
      <c r="F2433" s="2">
        <v>43191</v>
      </c>
      <c r="G2433" s="2"/>
      <c r="H2433" s="3822" t="s">
        <v>17</v>
      </c>
      <c r="I2433" s="3" t="s">
        <v>41</v>
      </c>
      <c r="J2433" s="3" t="s">
        <v>19</v>
      </c>
      <c r="K2433" s="3"/>
    </row>
    <row r="2434" spans="1:11" ht="43.2" x14ac:dyDescent="0.3">
      <c r="A2434" s="3" t="s">
        <v>4931</v>
      </c>
      <c r="B2434" s="3" t="str">
        <f>"017076136"</f>
        <v>017076136</v>
      </c>
      <c r="C2434" s="3" t="s">
        <v>4932</v>
      </c>
      <c r="D2434" s="3" t="s">
        <v>4933</v>
      </c>
      <c r="E2434" s="3" t="s">
        <v>24</v>
      </c>
      <c r="F2434" s="2">
        <v>43220</v>
      </c>
      <c r="G2434" s="2"/>
      <c r="H2434" s="3823" t="s">
        <v>37</v>
      </c>
      <c r="I2434" s="3824" t="s">
        <v>32</v>
      </c>
      <c r="J2434" s="3" t="s">
        <v>19</v>
      </c>
      <c r="K2434" s="3"/>
    </row>
    <row r="2435" spans="1:11" ht="43.2" x14ac:dyDescent="0.3">
      <c r="A2435" s="3" t="s">
        <v>4934</v>
      </c>
      <c r="B2435" s="3" t="str">
        <f>"024062046"</f>
        <v>024062046</v>
      </c>
      <c r="C2435" s="3" t="s">
        <v>1554</v>
      </c>
      <c r="D2435" s="3" t="s">
        <v>4935</v>
      </c>
      <c r="E2435" s="3" t="s">
        <v>1609</v>
      </c>
      <c r="F2435" s="2">
        <v>41522</v>
      </c>
      <c r="G2435" s="2"/>
      <c r="H2435" s="3825" t="s">
        <v>37</v>
      </c>
      <c r="I2435" s="3826" t="s">
        <v>32</v>
      </c>
      <c r="J2435" s="3" t="s">
        <v>19</v>
      </c>
      <c r="K2435" s="3"/>
    </row>
    <row r="2436" spans="1:11" ht="57.6" x14ac:dyDescent="0.3">
      <c r="A2436" s="3" t="s">
        <v>4936</v>
      </c>
      <c r="B2436" s="3" t="str">
        <f>"036019040"</f>
        <v>036019040</v>
      </c>
      <c r="C2436" s="3" t="s">
        <v>2427</v>
      </c>
      <c r="D2436" s="3" t="s">
        <v>4937</v>
      </c>
      <c r="E2436" s="3" t="s">
        <v>1255</v>
      </c>
      <c r="F2436" s="2">
        <v>43434</v>
      </c>
      <c r="G2436" s="2"/>
      <c r="H2436" s="3827" t="s">
        <v>17</v>
      </c>
      <c r="I2436" s="3828" t="s">
        <v>32</v>
      </c>
      <c r="J2436" s="3" t="s">
        <v>19</v>
      </c>
      <c r="K2436" s="3"/>
    </row>
    <row r="2437" spans="1:11" ht="43.2" x14ac:dyDescent="0.3">
      <c r="A2437" s="3" t="s">
        <v>4938</v>
      </c>
      <c r="B2437" s="3" t="str">
        <f>"034843019"</f>
        <v>034843019</v>
      </c>
      <c r="C2437" s="3" t="s">
        <v>3960</v>
      </c>
      <c r="D2437" s="3" t="s">
        <v>4939</v>
      </c>
      <c r="E2437" s="3" t="s">
        <v>1772</v>
      </c>
      <c r="F2437" s="2">
        <v>43474</v>
      </c>
      <c r="G2437" s="2"/>
      <c r="H2437" s="3829" t="s">
        <v>17</v>
      </c>
      <c r="I2437" s="3830" t="s">
        <v>1773</v>
      </c>
      <c r="J2437" s="3" t="s">
        <v>19</v>
      </c>
      <c r="K2437" s="3"/>
    </row>
    <row r="2438" spans="1:11" ht="43.2" x14ac:dyDescent="0.3">
      <c r="A2438" s="3" t="s">
        <v>4938</v>
      </c>
      <c r="B2438" s="3" t="str">
        <f>"034843021"</f>
        <v>034843021</v>
      </c>
      <c r="C2438" s="3" t="s">
        <v>3960</v>
      </c>
      <c r="D2438" s="3" t="s">
        <v>4940</v>
      </c>
      <c r="E2438" s="3" t="s">
        <v>1772</v>
      </c>
      <c r="F2438" s="2">
        <v>43474</v>
      </c>
      <c r="G2438" s="2"/>
      <c r="H2438" s="3831" t="s">
        <v>17</v>
      </c>
      <c r="I2438" s="3832" t="s">
        <v>1773</v>
      </c>
      <c r="J2438" s="3" t="s">
        <v>19</v>
      </c>
      <c r="K2438" s="3"/>
    </row>
    <row r="2439" spans="1:11" ht="43.2" x14ac:dyDescent="0.3">
      <c r="A2439" s="3" t="s">
        <v>4941</v>
      </c>
      <c r="B2439" s="3" t="str">
        <f>"033344021"</f>
        <v>033344021</v>
      </c>
      <c r="C2439" s="3" t="s">
        <v>1717</v>
      </c>
      <c r="D2439" s="3" t="s">
        <v>4942</v>
      </c>
      <c r="E2439" s="3" t="s">
        <v>4943</v>
      </c>
      <c r="F2439" s="2">
        <v>44154</v>
      </c>
      <c r="G2439" s="2">
        <v>44197</v>
      </c>
      <c r="H2439" s="3833" t="s">
        <v>17</v>
      </c>
      <c r="I2439" s="3" t="s">
        <v>2499</v>
      </c>
      <c r="J2439" s="3" t="s">
        <v>19</v>
      </c>
      <c r="K2439" s="3"/>
    </row>
    <row r="2440" spans="1:11" ht="86.4" x14ac:dyDescent="0.3">
      <c r="A2440" s="3" t="s">
        <v>4944</v>
      </c>
      <c r="B2440" s="3" t="str">
        <f>"035628270"</f>
        <v>035628270</v>
      </c>
      <c r="C2440" s="3" t="s">
        <v>4945</v>
      </c>
      <c r="D2440" s="3" t="s">
        <v>4946</v>
      </c>
      <c r="E2440" s="3" t="s">
        <v>115</v>
      </c>
      <c r="F2440" s="2">
        <v>43861</v>
      </c>
      <c r="G2440" s="2"/>
      <c r="H2440" s="3834" t="s">
        <v>17</v>
      </c>
      <c r="I2440" s="3835" t="s">
        <v>18</v>
      </c>
      <c r="J2440" s="3" t="s">
        <v>19</v>
      </c>
      <c r="K2440" s="3"/>
    </row>
    <row r="2441" spans="1:11" ht="86.4" x14ac:dyDescent="0.3">
      <c r="A2441" s="3" t="s">
        <v>4947</v>
      </c>
      <c r="B2441" s="3" t="str">
        <f>"043841016"</f>
        <v>043841016</v>
      </c>
      <c r="C2441" s="3" t="s">
        <v>4948</v>
      </c>
      <c r="D2441" s="3" t="s">
        <v>4949</v>
      </c>
      <c r="E2441" s="3" t="s">
        <v>1913</v>
      </c>
      <c r="F2441" s="2">
        <v>43647</v>
      </c>
      <c r="G2441" s="2"/>
      <c r="H2441" s="3836" t="s">
        <v>37</v>
      </c>
      <c r="I2441" s="3837" t="s">
        <v>18</v>
      </c>
      <c r="J2441" s="3" t="s">
        <v>19</v>
      </c>
      <c r="K2441" s="3"/>
    </row>
    <row r="2442" spans="1:11" ht="43.2" x14ac:dyDescent="0.3">
      <c r="A2442" s="3" t="s">
        <v>4950</v>
      </c>
      <c r="B2442" s="3" t="str">
        <f>"038919078"</f>
        <v>038919078</v>
      </c>
      <c r="C2442" s="3" t="s">
        <v>4951</v>
      </c>
      <c r="D2442" s="3" t="s">
        <v>4952</v>
      </c>
      <c r="E2442" s="3" t="s">
        <v>2629</v>
      </c>
      <c r="F2442" s="2">
        <v>43605</v>
      </c>
      <c r="G2442" s="2"/>
      <c r="H2442" s="3838" t="s">
        <v>17</v>
      </c>
      <c r="I2442" s="3839" t="s">
        <v>18</v>
      </c>
      <c r="J2442" s="3" t="s">
        <v>19</v>
      </c>
      <c r="K2442" s="3"/>
    </row>
    <row r="2443" spans="1:11" ht="57.6" x14ac:dyDescent="0.3">
      <c r="A2443" s="3" t="s">
        <v>4953</v>
      </c>
      <c r="B2443" s="3" t="str">
        <f>"038928014"</f>
        <v>038928014</v>
      </c>
      <c r="C2443" s="3" t="s">
        <v>4915</v>
      </c>
      <c r="D2443" s="3" t="s">
        <v>4954</v>
      </c>
      <c r="E2443" s="3" t="s">
        <v>27</v>
      </c>
      <c r="F2443" s="2">
        <v>44127</v>
      </c>
      <c r="G2443" s="2"/>
      <c r="H2443" s="3840" t="s">
        <v>37</v>
      </c>
      <c r="I2443" s="3841" t="s">
        <v>18</v>
      </c>
      <c r="J2443" s="3" t="s">
        <v>156</v>
      </c>
      <c r="K2443" s="3"/>
    </row>
    <row r="2444" spans="1:11" ht="57.6" x14ac:dyDescent="0.3">
      <c r="A2444" s="3" t="s">
        <v>4955</v>
      </c>
      <c r="B2444" s="3" t="str">
        <f>"020782037"</f>
        <v>020782037</v>
      </c>
      <c r="C2444" s="3" t="s">
        <v>4956</v>
      </c>
      <c r="D2444" s="3" t="s">
        <v>4957</v>
      </c>
      <c r="E2444" s="3" t="s">
        <v>24</v>
      </c>
      <c r="F2444" s="2">
        <v>44105</v>
      </c>
      <c r="G2444" s="2"/>
      <c r="H2444" s="3842" t="s">
        <v>17</v>
      </c>
      <c r="I2444" s="3" t="s">
        <v>41</v>
      </c>
      <c r="J2444" s="3" t="s">
        <v>19</v>
      </c>
      <c r="K2444" s="3"/>
    </row>
    <row r="2445" spans="1:11" ht="43.2" x14ac:dyDescent="0.3">
      <c r="A2445" s="3" t="s">
        <v>4958</v>
      </c>
      <c r="B2445" s="3" t="str">
        <f>"038875011"</f>
        <v>038875011</v>
      </c>
      <c r="C2445" s="3" t="s">
        <v>4959</v>
      </c>
      <c r="D2445" s="3" t="s">
        <v>4960</v>
      </c>
      <c r="E2445" s="3" t="s">
        <v>83</v>
      </c>
      <c r="F2445" s="2">
        <v>43587</v>
      </c>
      <c r="G2445" s="2"/>
      <c r="H2445" s="3843" t="s">
        <v>17</v>
      </c>
      <c r="I2445" s="3" t="s">
        <v>41</v>
      </c>
      <c r="J2445" s="3" t="s">
        <v>19</v>
      </c>
      <c r="K2445" s="3"/>
    </row>
    <row r="2446" spans="1:11" ht="43.2" x14ac:dyDescent="0.3">
      <c r="A2446" s="3" t="s">
        <v>4958</v>
      </c>
      <c r="B2446" s="3" t="str">
        <f>"038875035"</f>
        <v>038875035</v>
      </c>
      <c r="C2446" s="3" t="s">
        <v>4959</v>
      </c>
      <c r="D2446" s="3" t="s">
        <v>4961</v>
      </c>
      <c r="E2446" s="3" t="s">
        <v>83</v>
      </c>
      <c r="F2446" s="2">
        <v>43734</v>
      </c>
      <c r="G2446" s="2"/>
      <c r="H2446" s="3844" t="s">
        <v>17</v>
      </c>
      <c r="I2446" s="3" t="s">
        <v>41</v>
      </c>
      <c r="J2446" s="3" t="s">
        <v>19</v>
      </c>
      <c r="K2446" s="3"/>
    </row>
    <row r="2447" spans="1:11" ht="43.2" x14ac:dyDescent="0.3">
      <c r="A2447" s="3" t="s">
        <v>4962</v>
      </c>
      <c r="B2447" s="3" t="str">
        <f>"033999018"</f>
        <v>033999018</v>
      </c>
      <c r="C2447" s="3" t="s">
        <v>4963</v>
      </c>
      <c r="D2447" s="3" t="s">
        <v>4964</v>
      </c>
      <c r="E2447" s="3" t="s">
        <v>3184</v>
      </c>
      <c r="F2447" s="2">
        <v>43435</v>
      </c>
      <c r="G2447" s="2"/>
      <c r="H2447" s="3845" t="s">
        <v>17</v>
      </c>
      <c r="I2447" s="3846" t="s">
        <v>18</v>
      </c>
      <c r="J2447" s="3" t="s">
        <v>19</v>
      </c>
      <c r="K2447" s="3"/>
    </row>
    <row r="2448" spans="1:11" ht="43.2" x14ac:dyDescent="0.3">
      <c r="A2448" s="3" t="s">
        <v>4962</v>
      </c>
      <c r="B2448" s="3" t="str">
        <f>"033999044"</f>
        <v>033999044</v>
      </c>
      <c r="C2448" s="3" t="s">
        <v>4963</v>
      </c>
      <c r="D2448" s="3" t="s">
        <v>4965</v>
      </c>
      <c r="E2448" s="3" t="s">
        <v>3184</v>
      </c>
      <c r="F2448" s="2">
        <v>43251</v>
      </c>
      <c r="G2448" s="2"/>
      <c r="H2448" s="3847" t="s">
        <v>17</v>
      </c>
      <c r="I2448" s="3848" t="s">
        <v>18</v>
      </c>
      <c r="J2448" s="3" t="s">
        <v>19</v>
      </c>
      <c r="K2448" s="3"/>
    </row>
    <row r="2449" spans="1:11" ht="57.6" x14ac:dyDescent="0.3">
      <c r="A2449" s="3" t="s">
        <v>4962</v>
      </c>
      <c r="B2449" s="3" t="str">
        <f>"033999069"</f>
        <v>033999069</v>
      </c>
      <c r="C2449" s="3" t="s">
        <v>4963</v>
      </c>
      <c r="D2449" s="3" t="s">
        <v>4966</v>
      </c>
      <c r="E2449" s="3" t="s">
        <v>3184</v>
      </c>
      <c r="F2449" s="2">
        <v>42063</v>
      </c>
      <c r="G2449" s="2"/>
      <c r="H2449" s="3849" t="s">
        <v>37</v>
      </c>
      <c r="I2449" s="3850" t="s">
        <v>18</v>
      </c>
      <c r="J2449" s="3" t="s">
        <v>19</v>
      </c>
      <c r="K2449" s="3"/>
    </row>
    <row r="2450" spans="1:11" ht="57.6" x14ac:dyDescent="0.3">
      <c r="A2450" s="3" t="s">
        <v>4967</v>
      </c>
      <c r="B2450" s="3" t="str">
        <f>"024055028"</f>
        <v>024055028</v>
      </c>
      <c r="C2450" s="3" t="s">
        <v>4968</v>
      </c>
      <c r="D2450" s="3" t="s">
        <v>4969</v>
      </c>
      <c r="E2450" s="3" t="s">
        <v>425</v>
      </c>
      <c r="F2450" s="2">
        <v>43769</v>
      </c>
      <c r="G2450" s="2"/>
      <c r="H2450" s="3851" t="s">
        <v>37</v>
      </c>
      <c r="I2450" s="3852" t="s">
        <v>18</v>
      </c>
      <c r="J2450" s="3" t="s">
        <v>156</v>
      </c>
      <c r="K2450" s="3"/>
    </row>
    <row r="2451" spans="1:11" ht="57.6" x14ac:dyDescent="0.3">
      <c r="A2451" s="3" t="s">
        <v>4967</v>
      </c>
      <c r="B2451" s="3" t="str">
        <f>"024055030"</f>
        <v>024055030</v>
      </c>
      <c r="C2451" s="3" t="s">
        <v>4968</v>
      </c>
      <c r="D2451" s="3" t="s">
        <v>4970</v>
      </c>
      <c r="E2451" s="3" t="s">
        <v>425</v>
      </c>
      <c r="F2451" s="2">
        <v>43982</v>
      </c>
      <c r="G2451" s="2"/>
      <c r="H2451" s="3853" t="s">
        <v>37</v>
      </c>
      <c r="I2451" s="3854" t="s">
        <v>18</v>
      </c>
      <c r="J2451" s="3" t="s">
        <v>156</v>
      </c>
      <c r="K2451" s="3"/>
    </row>
    <row r="2452" spans="1:11" ht="57.6" x14ac:dyDescent="0.3">
      <c r="A2452" s="3" t="s">
        <v>4967</v>
      </c>
      <c r="B2452" s="3" t="str">
        <f>"024055055"</f>
        <v>024055055</v>
      </c>
      <c r="C2452" s="3" t="s">
        <v>4968</v>
      </c>
      <c r="D2452" s="3" t="s">
        <v>4971</v>
      </c>
      <c r="E2452" s="3" t="s">
        <v>425</v>
      </c>
      <c r="F2452" s="2">
        <v>43769</v>
      </c>
      <c r="G2452" s="2"/>
      <c r="H2452" s="3855" t="s">
        <v>37</v>
      </c>
      <c r="I2452" s="3856" t="s">
        <v>18</v>
      </c>
      <c r="J2452" s="3" t="s">
        <v>156</v>
      </c>
      <c r="K2452" s="3"/>
    </row>
    <row r="2453" spans="1:11" ht="43.2" x14ac:dyDescent="0.3">
      <c r="A2453" s="3" t="s">
        <v>4972</v>
      </c>
      <c r="B2453" s="3" t="str">
        <f>"025737014"</f>
        <v>025737014</v>
      </c>
      <c r="C2453" s="3" t="s">
        <v>4973</v>
      </c>
      <c r="D2453" s="3" t="s">
        <v>4974</v>
      </c>
      <c r="E2453" s="3" t="s">
        <v>600</v>
      </c>
      <c r="F2453" s="2">
        <v>43822</v>
      </c>
      <c r="G2453" s="2"/>
      <c r="H2453" s="3857" t="s">
        <v>37</v>
      </c>
      <c r="I2453" s="3858" t="s">
        <v>18</v>
      </c>
      <c r="J2453" s="3" t="s">
        <v>19</v>
      </c>
      <c r="K2453" s="3"/>
    </row>
    <row r="2454" spans="1:11" ht="57.6" x14ac:dyDescent="0.3">
      <c r="A2454" s="3" t="s">
        <v>4975</v>
      </c>
      <c r="B2454" s="3" t="str">
        <f>"034957011"</f>
        <v>034957011</v>
      </c>
      <c r="C2454" s="3" t="s">
        <v>4976</v>
      </c>
      <c r="D2454" s="3" t="s">
        <v>4977</v>
      </c>
      <c r="E2454" s="3" t="s">
        <v>2812</v>
      </c>
      <c r="F2454" s="2">
        <v>44043</v>
      </c>
      <c r="G2454" s="2">
        <v>44255</v>
      </c>
      <c r="H2454" s="3859" t="s">
        <v>37</v>
      </c>
      <c r="I2454" s="3" t="s">
        <v>41</v>
      </c>
      <c r="J2454" s="3" t="s">
        <v>156</v>
      </c>
      <c r="K2454" s="3"/>
    </row>
    <row r="2455" spans="1:11" ht="57.6" x14ac:dyDescent="0.3">
      <c r="A2455" s="3" t="s">
        <v>4978</v>
      </c>
      <c r="B2455" s="3" t="str">
        <f>"009896010"</f>
        <v>009896010</v>
      </c>
      <c r="C2455" s="3" t="s">
        <v>4979</v>
      </c>
      <c r="D2455" s="3" t="s">
        <v>4980</v>
      </c>
      <c r="E2455" s="3" t="s">
        <v>4981</v>
      </c>
      <c r="F2455" s="2">
        <v>43101</v>
      </c>
      <c r="G2455" s="2"/>
      <c r="H2455" s="3860" t="s">
        <v>37</v>
      </c>
      <c r="I2455" s="3861" t="s">
        <v>32</v>
      </c>
      <c r="J2455" s="3" t="s">
        <v>156</v>
      </c>
      <c r="K2455" s="3"/>
    </row>
    <row r="2456" spans="1:11" ht="57.6" x14ac:dyDescent="0.3">
      <c r="A2456" s="3" t="s">
        <v>4982</v>
      </c>
      <c r="B2456" s="3" t="str">
        <f>"007535026"</f>
        <v>007535026</v>
      </c>
      <c r="C2456" s="3" t="s">
        <v>4983</v>
      </c>
      <c r="D2456" s="3" t="s">
        <v>4984</v>
      </c>
      <c r="E2456" s="3" t="s">
        <v>1802</v>
      </c>
      <c r="F2456" s="2">
        <v>41122</v>
      </c>
      <c r="G2456" s="2"/>
      <c r="H2456" s="3862" t="s">
        <v>37</v>
      </c>
      <c r="I2456" s="3" t="s">
        <v>41</v>
      </c>
      <c r="J2456" s="3" t="s">
        <v>156</v>
      </c>
      <c r="K2456" s="3"/>
    </row>
    <row r="2457" spans="1:11" ht="57.6" x14ac:dyDescent="0.3">
      <c r="A2457" s="3" t="s">
        <v>4982</v>
      </c>
      <c r="B2457" s="3" t="str">
        <f>"007535014"</f>
        <v>007535014</v>
      </c>
      <c r="C2457" s="3" t="s">
        <v>4983</v>
      </c>
      <c r="D2457" s="3" t="s">
        <v>4985</v>
      </c>
      <c r="E2457" s="3" t="s">
        <v>1802</v>
      </c>
      <c r="F2457" s="2">
        <v>41122</v>
      </c>
      <c r="G2457" s="2"/>
      <c r="H2457" s="3863" t="s">
        <v>37</v>
      </c>
      <c r="I2457" s="3" t="s">
        <v>41</v>
      </c>
      <c r="J2457" s="3" t="s">
        <v>156</v>
      </c>
      <c r="K2457" s="3"/>
    </row>
    <row r="2458" spans="1:11" ht="43.2" x14ac:dyDescent="0.3">
      <c r="A2458" s="3" t="s">
        <v>4986</v>
      </c>
      <c r="B2458" s="3" t="str">
        <f>"025116017"</f>
        <v>025116017</v>
      </c>
      <c r="C2458" s="3" t="s">
        <v>987</v>
      </c>
      <c r="D2458" s="3" t="s">
        <v>4987</v>
      </c>
      <c r="E2458" s="3" t="s">
        <v>151</v>
      </c>
      <c r="F2458" s="2">
        <v>40756</v>
      </c>
      <c r="G2458" s="2"/>
      <c r="H2458" s="3864" t="s">
        <v>17</v>
      </c>
      <c r="I2458" s="3865" t="s">
        <v>18</v>
      </c>
      <c r="J2458" s="3" t="s">
        <v>19</v>
      </c>
      <c r="K2458" s="3"/>
    </row>
    <row r="2459" spans="1:11" ht="43.2" x14ac:dyDescent="0.3">
      <c r="A2459" s="3" t="s">
        <v>4988</v>
      </c>
      <c r="B2459" s="3" t="str">
        <f>"007780075"</f>
        <v>007780075</v>
      </c>
      <c r="C2459" s="3" t="s">
        <v>987</v>
      </c>
      <c r="D2459" s="3" t="s">
        <v>4989</v>
      </c>
      <c r="E2459" s="3" t="s">
        <v>161</v>
      </c>
      <c r="F2459" s="2">
        <v>43966</v>
      </c>
      <c r="G2459" s="2"/>
      <c r="H2459" s="3866" t="s">
        <v>37</v>
      </c>
      <c r="I2459" s="3867" t="s">
        <v>18</v>
      </c>
      <c r="J2459" s="3" t="s">
        <v>19</v>
      </c>
      <c r="K2459" s="3"/>
    </row>
    <row r="2460" spans="1:11" ht="43.2" x14ac:dyDescent="0.3">
      <c r="A2460" s="3" t="s">
        <v>4990</v>
      </c>
      <c r="B2460" s="3" t="str">
        <f>"020096018"</f>
        <v>020096018</v>
      </c>
      <c r="C2460" s="3" t="s">
        <v>2134</v>
      </c>
      <c r="D2460" s="3" t="s">
        <v>2135</v>
      </c>
      <c r="E2460" s="3" t="s">
        <v>1287</v>
      </c>
      <c r="F2460" s="2">
        <v>42893</v>
      </c>
      <c r="G2460" s="2"/>
      <c r="H2460" s="3868" t="s">
        <v>17</v>
      </c>
      <c r="I2460" s="3869" t="s">
        <v>18</v>
      </c>
      <c r="J2460" s="3" t="s">
        <v>19</v>
      </c>
      <c r="K2460" s="3"/>
    </row>
    <row r="2461" spans="1:11" ht="72" x14ac:dyDescent="0.3">
      <c r="A2461" s="3" t="s">
        <v>4991</v>
      </c>
      <c r="B2461" s="3" t="str">
        <f>"042288199"</f>
        <v>042288199</v>
      </c>
      <c r="C2461" s="3" t="s">
        <v>2342</v>
      </c>
      <c r="D2461" s="3" t="s">
        <v>4992</v>
      </c>
      <c r="E2461" s="3" t="s">
        <v>481</v>
      </c>
      <c r="F2461" s="2">
        <v>42800</v>
      </c>
      <c r="G2461" s="2"/>
      <c r="H2461" s="3870" t="s">
        <v>17</v>
      </c>
      <c r="I2461" s="3871" t="s">
        <v>32</v>
      </c>
      <c r="J2461" s="3" t="s">
        <v>19</v>
      </c>
      <c r="K2461" s="3"/>
    </row>
    <row r="2462" spans="1:11" ht="57.6" x14ac:dyDescent="0.3">
      <c r="A2462" s="3" t="s">
        <v>4991</v>
      </c>
      <c r="B2462" s="3" t="str">
        <f>"042288225"</f>
        <v>042288225</v>
      </c>
      <c r="C2462" s="3" t="s">
        <v>2342</v>
      </c>
      <c r="D2462" s="3" t="s">
        <v>4993</v>
      </c>
      <c r="E2462" s="3" t="s">
        <v>481</v>
      </c>
      <c r="F2462" s="2">
        <v>42076</v>
      </c>
      <c r="G2462" s="2"/>
      <c r="H2462" s="3872" t="s">
        <v>17</v>
      </c>
      <c r="I2462" s="3873" t="s">
        <v>32</v>
      </c>
      <c r="J2462" s="3" t="s">
        <v>19</v>
      </c>
      <c r="K2462" s="3"/>
    </row>
    <row r="2463" spans="1:11" ht="57.6" x14ac:dyDescent="0.3">
      <c r="A2463" s="3" t="s">
        <v>4991</v>
      </c>
      <c r="B2463" s="3" t="str">
        <f>"042288163"</f>
        <v>042288163</v>
      </c>
      <c r="C2463" s="3" t="s">
        <v>2342</v>
      </c>
      <c r="D2463" s="3" t="s">
        <v>4994</v>
      </c>
      <c r="E2463" s="3" t="s">
        <v>481</v>
      </c>
      <c r="F2463" s="2">
        <v>42076</v>
      </c>
      <c r="G2463" s="2"/>
      <c r="H2463" s="3874" t="s">
        <v>17</v>
      </c>
      <c r="I2463" s="3875" t="s">
        <v>32</v>
      </c>
      <c r="J2463" s="3" t="s">
        <v>19</v>
      </c>
      <c r="K2463" s="3"/>
    </row>
    <row r="2464" spans="1:11" ht="57.6" x14ac:dyDescent="0.3">
      <c r="A2464" s="3" t="s">
        <v>4991</v>
      </c>
      <c r="B2464" s="3" t="str">
        <f>"042288151"</f>
        <v>042288151</v>
      </c>
      <c r="C2464" s="3" t="s">
        <v>2342</v>
      </c>
      <c r="D2464" s="3" t="s">
        <v>4995</v>
      </c>
      <c r="E2464" s="3" t="s">
        <v>481</v>
      </c>
      <c r="F2464" s="2">
        <v>42076</v>
      </c>
      <c r="G2464" s="2"/>
      <c r="H2464" s="3876" t="s">
        <v>17</v>
      </c>
      <c r="I2464" s="3877" t="s">
        <v>32</v>
      </c>
      <c r="J2464" s="3" t="s">
        <v>19</v>
      </c>
      <c r="K2464" s="3"/>
    </row>
    <row r="2465" spans="1:11" ht="57.6" x14ac:dyDescent="0.3">
      <c r="A2465" s="3" t="s">
        <v>4991</v>
      </c>
      <c r="B2465" s="3" t="str">
        <f>"042288148"</f>
        <v>042288148</v>
      </c>
      <c r="C2465" s="3" t="s">
        <v>2342</v>
      </c>
      <c r="D2465" s="3" t="s">
        <v>4996</v>
      </c>
      <c r="E2465" s="3" t="s">
        <v>481</v>
      </c>
      <c r="F2465" s="2">
        <v>42076</v>
      </c>
      <c r="G2465" s="2"/>
      <c r="H2465" s="3878" t="s">
        <v>17</v>
      </c>
      <c r="I2465" s="3879" t="s">
        <v>32</v>
      </c>
      <c r="J2465" s="3" t="s">
        <v>19</v>
      </c>
      <c r="K2465" s="3"/>
    </row>
    <row r="2466" spans="1:11" ht="57.6" x14ac:dyDescent="0.3">
      <c r="A2466" s="3" t="s">
        <v>4991</v>
      </c>
      <c r="B2466" s="3" t="str">
        <f>"042288175"</f>
        <v>042288175</v>
      </c>
      <c r="C2466" s="3" t="s">
        <v>2342</v>
      </c>
      <c r="D2466" s="3" t="s">
        <v>4997</v>
      </c>
      <c r="E2466" s="3" t="s">
        <v>481</v>
      </c>
      <c r="F2466" s="2">
        <v>42076</v>
      </c>
      <c r="G2466" s="2"/>
      <c r="H2466" s="3880" t="s">
        <v>17</v>
      </c>
      <c r="I2466" s="3881" t="s">
        <v>32</v>
      </c>
      <c r="J2466" s="3" t="s">
        <v>19</v>
      </c>
      <c r="K2466" s="3"/>
    </row>
    <row r="2467" spans="1:11" ht="57.6" x14ac:dyDescent="0.3">
      <c r="A2467" s="3" t="s">
        <v>4991</v>
      </c>
      <c r="B2467" s="3" t="str">
        <f>"042288136"</f>
        <v>042288136</v>
      </c>
      <c r="C2467" s="3" t="s">
        <v>2342</v>
      </c>
      <c r="D2467" s="3" t="s">
        <v>4998</v>
      </c>
      <c r="E2467" s="3" t="s">
        <v>481</v>
      </c>
      <c r="F2467" s="2">
        <v>42076</v>
      </c>
      <c r="G2467" s="2"/>
      <c r="H2467" s="3882" t="s">
        <v>17</v>
      </c>
      <c r="I2467" s="3883" t="s">
        <v>32</v>
      </c>
      <c r="J2467" s="3" t="s">
        <v>19</v>
      </c>
      <c r="K2467" s="3"/>
    </row>
    <row r="2468" spans="1:11" ht="57.6" x14ac:dyDescent="0.3">
      <c r="A2468" s="3" t="s">
        <v>4991</v>
      </c>
      <c r="B2468" s="3" t="str">
        <f>"042288249"</f>
        <v>042288249</v>
      </c>
      <c r="C2468" s="3" t="s">
        <v>2342</v>
      </c>
      <c r="D2468" s="3" t="s">
        <v>4999</v>
      </c>
      <c r="E2468" s="3" t="s">
        <v>481</v>
      </c>
      <c r="F2468" s="2">
        <v>42800</v>
      </c>
      <c r="G2468" s="2"/>
      <c r="H2468" s="3884" t="s">
        <v>17</v>
      </c>
      <c r="I2468" s="3885" t="s">
        <v>32</v>
      </c>
      <c r="J2468" s="3" t="s">
        <v>19</v>
      </c>
      <c r="K2468" s="3"/>
    </row>
    <row r="2469" spans="1:11" ht="57.6" x14ac:dyDescent="0.3">
      <c r="A2469" s="3" t="s">
        <v>4991</v>
      </c>
      <c r="B2469" s="3" t="str">
        <f>"042288276"</f>
        <v>042288276</v>
      </c>
      <c r="C2469" s="3" t="s">
        <v>2342</v>
      </c>
      <c r="D2469" s="3" t="s">
        <v>5000</v>
      </c>
      <c r="E2469" s="3" t="s">
        <v>481</v>
      </c>
      <c r="F2469" s="2">
        <v>42076</v>
      </c>
      <c r="G2469" s="2"/>
      <c r="H2469" s="3886" t="s">
        <v>17</v>
      </c>
      <c r="I2469" s="3887" t="s">
        <v>32</v>
      </c>
      <c r="J2469" s="3" t="s">
        <v>19</v>
      </c>
      <c r="K2469" s="3"/>
    </row>
    <row r="2470" spans="1:11" ht="43.2" x14ac:dyDescent="0.3">
      <c r="A2470" s="3" t="s">
        <v>5001</v>
      </c>
      <c r="B2470" s="3" t="str">
        <f>"037645013"</f>
        <v>037645013</v>
      </c>
      <c r="C2470" s="3" t="s">
        <v>2598</v>
      </c>
      <c r="D2470" s="3" t="s">
        <v>5002</v>
      </c>
      <c r="E2470" s="3" t="s">
        <v>1617</v>
      </c>
      <c r="F2470" s="2">
        <v>43252</v>
      </c>
      <c r="G2470" s="2"/>
      <c r="H2470" s="3888" t="s">
        <v>17</v>
      </c>
      <c r="I2470" s="3889" t="s">
        <v>32</v>
      </c>
      <c r="J2470" s="3" t="s">
        <v>19</v>
      </c>
      <c r="K2470" s="3"/>
    </row>
    <row r="2471" spans="1:11" ht="43.2" x14ac:dyDescent="0.3">
      <c r="A2471" s="3" t="s">
        <v>5003</v>
      </c>
      <c r="B2471" s="3" t="str">
        <f>"023181086"</f>
        <v>023181086</v>
      </c>
      <c r="C2471" s="3" t="s">
        <v>1441</v>
      </c>
      <c r="D2471" s="3" t="s">
        <v>5004</v>
      </c>
      <c r="E2471" s="3" t="s">
        <v>1416</v>
      </c>
      <c r="F2471" s="2">
        <v>43009</v>
      </c>
      <c r="G2471" s="2"/>
      <c r="H2471" s="3890" t="s">
        <v>17</v>
      </c>
      <c r="I2471" s="3891" t="s">
        <v>18</v>
      </c>
      <c r="J2471" s="3" t="s">
        <v>19</v>
      </c>
      <c r="K2471" s="3"/>
    </row>
    <row r="2472" spans="1:11" ht="43.2" x14ac:dyDescent="0.3">
      <c r="A2472" s="3" t="s">
        <v>5005</v>
      </c>
      <c r="B2472" s="3" t="str">
        <f>"034548089"</f>
        <v>034548089</v>
      </c>
      <c r="C2472" s="3" t="s">
        <v>1441</v>
      </c>
      <c r="D2472" s="3" t="s">
        <v>5006</v>
      </c>
      <c r="E2472" s="3" t="s">
        <v>1416</v>
      </c>
      <c r="F2472" s="2">
        <v>41640</v>
      </c>
      <c r="G2472" s="2"/>
      <c r="H2472" s="3892" t="s">
        <v>17</v>
      </c>
      <c r="I2472" s="3893" t="s">
        <v>18</v>
      </c>
      <c r="J2472" s="3" t="s">
        <v>19</v>
      </c>
      <c r="K2472" s="3"/>
    </row>
    <row r="2473" spans="1:11" ht="43.2" x14ac:dyDescent="0.3">
      <c r="A2473" s="3" t="s">
        <v>5005</v>
      </c>
      <c r="B2473" s="3" t="str">
        <f>"034548115"</f>
        <v>034548115</v>
      </c>
      <c r="C2473" s="3" t="s">
        <v>1441</v>
      </c>
      <c r="D2473" s="3" t="s">
        <v>5007</v>
      </c>
      <c r="E2473" s="3" t="s">
        <v>1416</v>
      </c>
      <c r="F2473" s="2">
        <v>44012</v>
      </c>
      <c r="G2473" s="2"/>
      <c r="H2473" s="3894" t="s">
        <v>17</v>
      </c>
      <c r="I2473" s="3895" t="s">
        <v>18</v>
      </c>
      <c r="J2473" s="3" t="s">
        <v>19</v>
      </c>
      <c r="K2473" s="3"/>
    </row>
    <row r="2474" spans="1:11" ht="43.2" x14ac:dyDescent="0.3">
      <c r="A2474" s="3" t="s">
        <v>5008</v>
      </c>
      <c r="B2474" s="3" t="str">
        <f>"027917018"</f>
        <v>027917018</v>
      </c>
      <c r="C2474" s="3" t="s">
        <v>1441</v>
      </c>
      <c r="D2474" s="3" t="s">
        <v>5009</v>
      </c>
      <c r="E2474" s="3" t="s">
        <v>463</v>
      </c>
      <c r="F2474" s="2">
        <v>42870</v>
      </c>
      <c r="G2474" s="2"/>
      <c r="H2474" s="3896" t="s">
        <v>17</v>
      </c>
      <c r="I2474" s="3897" t="s">
        <v>18</v>
      </c>
      <c r="J2474" s="3" t="s">
        <v>19</v>
      </c>
      <c r="K2474" s="3"/>
    </row>
    <row r="2475" spans="1:11" ht="43.2" x14ac:dyDescent="0.3">
      <c r="A2475" s="3" t="s">
        <v>5010</v>
      </c>
      <c r="B2475" s="3" t="str">
        <f>"040747038"</f>
        <v>040747038</v>
      </c>
      <c r="C2475" s="3" t="s">
        <v>5011</v>
      </c>
      <c r="D2475" s="3" t="s">
        <v>5012</v>
      </c>
      <c r="E2475" s="3" t="s">
        <v>239</v>
      </c>
      <c r="F2475" s="2">
        <v>42936</v>
      </c>
      <c r="G2475" s="2">
        <v>44012</v>
      </c>
      <c r="H2475" s="3898" t="s">
        <v>37</v>
      </c>
      <c r="I2475" s="3" t="s">
        <v>41</v>
      </c>
      <c r="J2475" s="3" t="s">
        <v>19</v>
      </c>
      <c r="K2475" s="3"/>
    </row>
    <row r="2476" spans="1:11" ht="57.6" x14ac:dyDescent="0.3">
      <c r="A2476" s="3" t="s">
        <v>5013</v>
      </c>
      <c r="B2476" s="3" t="str">
        <f>"042809057"</f>
        <v>042809057</v>
      </c>
      <c r="C2476" s="3" t="s">
        <v>4945</v>
      </c>
      <c r="D2476" s="3" t="s">
        <v>5014</v>
      </c>
      <c r="E2476" s="3" t="s">
        <v>16</v>
      </c>
      <c r="F2476" s="2">
        <v>43101</v>
      </c>
      <c r="G2476" s="2"/>
      <c r="H2476" s="3899" t="s">
        <v>17</v>
      </c>
      <c r="I2476" s="3900" t="s">
        <v>18</v>
      </c>
      <c r="J2476" s="3" t="s">
        <v>19</v>
      </c>
      <c r="K2476" s="3"/>
    </row>
    <row r="2477" spans="1:11" ht="57.6" x14ac:dyDescent="0.3">
      <c r="A2477" s="3" t="s">
        <v>5013</v>
      </c>
      <c r="B2477" s="3" t="str">
        <f>"042809145"</f>
        <v>042809145</v>
      </c>
      <c r="C2477" s="3" t="s">
        <v>4945</v>
      </c>
      <c r="D2477" s="3" t="s">
        <v>5015</v>
      </c>
      <c r="E2477" s="3" t="s">
        <v>16</v>
      </c>
      <c r="F2477" s="2">
        <v>43101</v>
      </c>
      <c r="G2477" s="2"/>
      <c r="H2477" s="3901" t="s">
        <v>17</v>
      </c>
      <c r="I2477" s="3902" t="s">
        <v>18</v>
      </c>
      <c r="J2477" s="3" t="s">
        <v>19</v>
      </c>
      <c r="K2477" s="3"/>
    </row>
    <row r="2478" spans="1:11" ht="57.6" x14ac:dyDescent="0.3">
      <c r="A2478" s="3" t="s">
        <v>5013</v>
      </c>
      <c r="B2478" s="3" t="str">
        <f>"042809210"</f>
        <v>042809210</v>
      </c>
      <c r="C2478" s="3" t="s">
        <v>4945</v>
      </c>
      <c r="D2478" s="3" t="s">
        <v>5016</v>
      </c>
      <c r="E2478" s="3" t="s">
        <v>16</v>
      </c>
      <c r="F2478" s="2">
        <v>43841</v>
      </c>
      <c r="G2478" s="2">
        <v>44327</v>
      </c>
      <c r="H2478" s="3903" t="s">
        <v>17</v>
      </c>
      <c r="I2478" s="3" t="s">
        <v>41</v>
      </c>
      <c r="J2478" s="3" t="s">
        <v>19</v>
      </c>
      <c r="K2478" s="3"/>
    </row>
    <row r="2479" spans="1:11" ht="57.6" x14ac:dyDescent="0.3">
      <c r="A2479" s="3" t="s">
        <v>5013</v>
      </c>
      <c r="B2479" s="3" t="str">
        <f>"042809273"</f>
        <v>042809273</v>
      </c>
      <c r="C2479" s="3" t="s">
        <v>4945</v>
      </c>
      <c r="D2479" s="3" t="s">
        <v>5017</v>
      </c>
      <c r="E2479" s="3" t="s">
        <v>16</v>
      </c>
      <c r="F2479" s="2">
        <v>43841</v>
      </c>
      <c r="G2479" s="2">
        <v>44327</v>
      </c>
      <c r="H2479" s="3904" t="s">
        <v>17</v>
      </c>
      <c r="I2479" s="3" t="s">
        <v>41</v>
      </c>
      <c r="J2479" s="3" t="s">
        <v>19</v>
      </c>
      <c r="K2479" s="3"/>
    </row>
    <row r="2480" spans="1:11" ht="43.2" x14ac:dyDescent="0.3">
      <c r="A2480" s="3" t="s">
        <v>5018</v>
      </c>
      <c r="B2480" s="3" t="str">
        <f>"043930015"</f>
        <v>043930015</v>
      </c>
      <c r="C2480" s="3" t="s">
        <v>4945</v>
      </c>
      <c r="D2480" s="3" t="s">
        <v>5019</v>
      </c>
      <c r="E2480" s="3" t="s">
        <v>83</v>
      </c>
      <c r="F2480" s="2">
        <v>43167</v>
      </c>
      <c r="G2480" s="2"/>
      <c r="H2480" s="3905" t="s">
        <v>17</v>
      </c>
      <c r="I2480" s="3" t="s">
        <v>41</v>
      </c>
      <c r="J2480" s="3" t="s">
        <v>19</v>
      </c>
      <c r="K2480" s="3"/>
    </row>
    <row r="2481" spans="1:11" ht="43.2" x14ac:dyDescent="0.3">
      <c r="A2481" s="3" t="s">
        <v>5018</v>
      </c>
      <c r="B2481" s="3" t="str">
        <f>"043930027"</f>
        <v>043930027</v>
      </c>
      <c r="C2481" s="3" t="s">
        <v>4945</v>
      </c>
      <c r="D2481" s="3" t="s">
        <v>5020</v>
      </c>
      <c r="E2481" s="3" t="s">
        <v>83</v>
      </c>
      <c r="F2481" s="2">
        <v>43167</v>
      </c>
      <c r="G2481" s="2"/>
      <c r="H2481" s="3906" t="s">
        <v>17</v>
      </c>
      <c r="I2481" s="3" t="s">
        <v>41</v>
      </c>
      <c r="J2481" s="3" t="s">
        <v>19</v>
      </c>
      <c r="K2481" s="3"/>
    </row>
    <row r="2482" spans="1:11" ht="43.2" x14ac:dyDescent="0.3">
      <c r="A2482" s="3" t="s">
        <v>5021</v>
      </c>
      <c r="B2482" s="3" t="str">
        <f>"042737027"</f>
        <v>042737027</v>
      </c>
      <c r="C2482" s="3" t="s">
        <v>4945</v>
      </c>
      <c r="D2482" s="3" t="s">
        <v>5022</v>
      </c>
      <c r="E2482" s="3" t="s">
        <v>24</v>
      </c>
      <c r="F2482" s="2">
        <v>44201</v>
      </c>
      <c r="G2482" s="2"/>
      <c r="H2482" s="3907" t="s">
        <v>17</v>
      </c>
      <c r="I2482" s="3908" t="s">
        <v>18</v>
      </c>
      <c r="J2482" s="3" t="s">
        <v>19</v>
      </c>
      <c r="K2482" s="3"/>
    </row>
    <row r="2483" spans="1:11" ht="57.6" x14ac:dyDescent="0.3">
      <c r="A2483" s="3" t="s">
        <v>5023</v>
      </c>
      <c r="B2483" s="3" t="str">
        <f>"042257016"</f>
        <v>042257016</v>
      </c>
      <c r="C2483" s="3" t="s">
        <v>4945</v>
      </c>
      <c r="D2483" s="3" t="s">
        <v>5024</v>
      </c>
      <c r="E2483" s="3" t="s">
        <v>24</v>
      </c>
      <c r="F2483" s="2">
        <v>44136</v>
      </c>
      <c r="G2483" s="2"/>
      <c r="H2483" s="3909" t="s">
        <v>17</v>
      </c>
      <c r="I2483" s="3910" t="s">
        <v>18</v>
      </c>
      <c r="J2483" s="3" t="s">
        <v>19</v>
      </c>
      <c r="K2483" s="3"/>
    </row>
    <row r="2484" spans="1:11" ht="43.2" x14ac:dyDescent="0.3">
      <c r="A2484" s="3" t="s">
        <v>5025</v>
      </c>
      <c r="B2484" s="3" t="str">
        <f>"043683010"</f>
        <v>043683010</v>
      </c>
      <c r="C2484" s="3" t="s">
        <v>4945</v>
      </c>
      <c r="D2484" s="3" t="s">
        <v>5026</v>
      </c>
      <c r="E2484" s="3" t="s">
        <v>239</v>
      </c>
      <c r="F2484" s="2">
        <v>43496</v>
      </c>
      <c r="G2484" s="2"/>
      <c r="H2484" s="3911" t="s">
        <v>17</v>
      </c>
      <c r="I2484" s="3912" t="s">
        <v>32</v>
      </c>
      <c r="J2484" s="3" t="s">
        <v>19</v>
      </c>
      <c r="K2484" s="3"/>
    </row>
    <row r="2485" spans="1:11" ht="43.2" x14ac:dyDescent="0.3">
      <c r="A2485" s="3" t="s">
        <v>5027</v>
      </c>
      <c r="B2485" s="3" t="str">
        <f>"043454077"</f>
        <v>043454077</v>
      </c>
      <c r="C2485" s="3" t="s">
        <v>4945</v>
      </c>
      <c r="D2485" s="3" t="s">
        <v>5022</v>
      </c>
      <c r="E2485" s="3" t="s">
        <v>3047</v>
      </c>
      <c r="F2485" s="2">
        <v>43252</v>
      </c>
      <c r="G2485" s="2"/>
      <c r="H2485" s="3913" t="s">
        <v>37</v>
      </c>
      <c r="I2485" s="3914" t="s">
        <v>18</v>
      </c>
      <c r="J2485" s="3" t="s">
        <v>19</v>
      </c>
      <c r="K2485" s="3"/>
    </row>
    <row r="2486" spans="1:11" ht="43.2" x14ac:dyDescent="0.3">
      <c r="A2486" s="3" t="s">
        <v>5028</v>
      </c>
      <c r="B2486" s="3" t="str">
        <f>"042789053"</f>
        <v>042789053</v>
      </c>
      <c r="C2486" s="3" t="s">
        <v>4945</v>
      </c>
      <c r="D2486" s="3" t="s">
        <v>5029</v>
      </c>
      <c r="E2486" s="3" t="s">
        <v>107</v>
      </c>
      <c r="F2486" s="2">
        <v>43678</v>
      </c>
      <c r="G2486" s="2"/>
      <c r="H2486" s="3915" t="s">
        <v>37</v>
      </c>
      <c r="I2486" s="3916" t="s">
        <v>18</v>
      </c>
      <c r="J2486" s="3" t="s">
        <v>19</v>
      </c>
      <c r="K2486" s="3"/>
    </row>
    <row r="2487" spans="1:11" ht="43.2" x14ac:dyDescent="0.3">
      <c r="A2487" s="3" t="s">
        <v>5030</v>
      </c>
      <c r="B2487" s="3" t="str">
        <f>"043238017"</f>
        <v>043238017</v>
      </c>
      <c r="C2487" s="3" t="s">
        <v>4945</v>
      </c>
      <c r="D2487" s="3" t="s">
        <v>5026</v>
      </c>
      <c r="E2487" s="3" t="s">
        <v>27</v>
      </c>
      <c r="F2487" s="2">
        <v>43556</v>
      </c>
      <c r="G2487" s="2"/>
      <c r="H2487" s="3917" t="s">
        <v>17</v>
      </c>
      <c r="I2487" s="3918" t="s">
        <v>18</v>
      </c>
      <c r="J2487" s="3" t="s">
        <v>19</v>
      </c>
      <c r="K2487" s="3"/>
    </row>
    <row r="2488" spans="1:11" ht="86.4" x14ac:dyDescent="0.3">
      <c r="A2488" s="3" t="s">
        <v>5031</v>
      </c>
      <c r="B2488" s="3" t="str">
        <f>"037392014"</f>
        <v>037392014</v>
      </c>
      <c r="C2488" s="3" t="s">
        <v>5032</v>
      </c>
      <c r="D2488" s="3" t="s">
        <v>5033</v>
      </c>
      <c r="E2488" s="3" t="s">
        <v>5034</v>
      </c>
      <c r="F2488" s="2">
        <v>43115</v>
      </c>
      <c r="G2488" s="2">
        <v>44012</v>
      </c>
      <c r="H2488" s="3919" t="s">
        <v>37</v>
      </c>
      <c r="I2488" s="3" t="s">
        <v>41</v>
      </c>
      <c r="J2488" s="3" t="s">
        <v>156</v>
      </c>
      <c r="K2488" s="3"/>
    </row>
    <row r="2489" spans="1:11" ht="43.2" x14ac:dyDescent="0.3">
      <c r="A2489" s="3" t="s">
        <v>5035</v>
      </c>
      <c r="B2489" s="3" t="str">
        <f>"024514022"</f>
        <v>024514022</v>
      </c>
      <c r="C2489" s="3" t="s">
        <v>5036</v>
      </c>
      <c r="D2489" s="3" t="s">
        <v>5037</v>
      </c>
      <c r="E2489" s="3" t="s">
        <v>270</v>
      </c>
      <c r="F2489" s="2">
        <v>43949</v>
      </c>
      <c r="G2489" s="2"/>
      <c r="H2489" s="3920" t="s">
        <v>37</v>
      </c>
      <c r="I2489" s="3921" t="s">
        <v>18</v>
      </c>
      <c r="J2489" s="3" t="s">
        <v>19</v>
      </c>
      <c r="K2489" s="3"/>
    </row>
    <row r="2490" spans="1:11" ht="72" x14ac:dyDescent="0.3">
      <c r="A2490" s="3" t="s">
        <v>5038</v>
      </c>
      <c r="B2490" s="3" t="str">
        <f>"038611036"</f>
        <v>038611036</v>
      </c>
      <c r="C2490" s="3" t="s">
        <v>2721</v>
      </c>
      <c r="D2490" s="3" t="s">
        <v>5039</v>
      </c>
      <c r="E2490" s="3" t="s">
        <v>412</v>
      </c>
      <c r="F2490" s="2">
        <v>43448</v>
      </c>
      <c r="G2490" s="2">
        <v>44408</v>
      </c>
      <c r="H2490" s="3922" t="s">
        <v>17</v>
      </c>
      <c r="I2490" s="3" t="s">
        <v>41</v>
      </c>
      <c r="J2490" s="3" t="s">
        <v>19</v>
      </c>
      <c r="K2490" s="3"/>
    </row>
    <row r="2491" spans="1:11" ht="43.2" x14ac:dyDescent="0.3">
      <c r="A2491" s="3" t="s">
        <v>5040</v>
      </c>
      <c r="B2491" s="3" t="str">
        <f>"002955134"</f>
        <v>002955134</v>
      </c>
      <c r="C2491" s="3" t="s">
        <v>4844</v>
      </c>
      <c r="D2491" s="3" t="s">
        <v>5041</v>
      </c>
      <c r="E2491" s="3" t="s">
        <v>501</v>
      </c>
      <c r="F2491" s="2">
        <v>43069</v>
      </c>
      <c r="G2491" s="2"/>
      <c r="H2491" s="3923" t="s">
        <v>37</v>
      </c>
      <c r="I2491" s="3924" t="s">
        <v>18</v>
      </c>
      <c r="J2491" s="3" t="s">
        <v>19</v>
      </c>
      <c r="K2491" s="3"/>
    </row>
    <row r="2492" spans="1:11" ht="43.2" x14ac:dyDescent="0.3">
      <c r="A2492" s="3" t="s">
        <v>5042</v>
      </c>
      <c r="B2492" s="3" t="str">
        <f>"025980145"</f>
        <v>025980145</v>
      </c>
      <c r="C2492" s="3" t="s">
        <v>286</v>
      </c>
      <c r="D2492" s="3" t="s">
        <v>5043</v>
      </c>
      <c r="E2492" s="3" t="s">
        <v>412</v>
      </c>
      <c r="F2492" s="2">
        <v>44109</v>
      </c>
      <c r="G2492" s="2">
        <v>44165</v>
      </c>
      <c r="H2492" s="3925" t="s">
        <v>17</v>
      </c>
      <c r="I2492" s="3" t="s">
        <v>41</v>
      </c>
      <c r="J2492" s="3" t="s">
        <v>19</v>
      </c>
      <c r="K2492" s="3"/>
    </row>
    <row r="2493" spans="1:11" ht="43.2" x14ac:dyDescent="0.3">
      <c r="A2493" s="3" t="s">
        <v>5042</v>
      </c>
      <c r="B2493" s="3" t="str">
        <f>"025980210"</f>
        <v>025980210</v>
      </c>
      <c r="C2493" s="3" t="s">
        <v>286</v>
      </c>
      <c r="D2493" s="3" t="s">
        <v>5044</v>
      </c>
      <c r="E2493" s="3" t="s">
        <v>412</v>
      </c>
      <c r="F2493" s="2">
        <v>44106</v>
      </c>
      <c r="G2493" s="2">
        <v>44150</v>
      </c>
      <c r="H2493" s="3926" t="s">
        <v>17</v>
      </c>
      <c r="I2493" s="3" t="s">
        <v>41</v>
      </c>
      <c r="J2493" s="3" t="s">
        <v>19</v>
      </c>
      <c r="K2493" s="3"/>
    </row>
    <row r="2494" spans="1:11" ht="43.2" x14ac:dyDescent="0.3">
      <c r="A2494" s="3" t="s">
        <v>5042</v>
      </c>
      <c r="B2494" s="3" t="str">
        <f>"025980323"</f>
        <v>025980323</v>
      </c>
      <c r="C2494" s="3" t="s">
        <v>286</v>
      </c>
      <c r="D2494" s="3" t="s">
        <v>5045</v>
      </c>
      <c r="E2494" s="3" t="s">
        <v>412</v>
      </c>
      <c r="F2494" s="2">
        <v>44137</v>
      </c>
      <c r="G2494" s="2">
        <v>44165</v>
      </c>
      <c r="H2494" s="3927" t="s">
        <v>37</v>
      </c>
      <c r="I2494" s="3" t="s">
        <v>2499</v>
      </c>
      <c r="J2494" s="3" t="s">
        <v>19</v>
      </c>
      <c r="K2494" s="3"/>
    </row>
    <row r="2495" spans="1:11" ht="43.2" x14ac:dyDescent="0.3">
      <c r="A2495" s="3" t="s">
        <v>5042</v>
      </c>
      <c r="B2495" s="3" t="str">
        <f>"025980273"</f>
        <v>025980273</v>
      </c>
      <c r="C2495" s="3" t="s">
        <v>286</v>
      </c>
      <c r="D2495" s="3" t="s">
        <v>5046</v>
      </c>
      <c r="E2495" s="3" t="s">
        <v>412</v>
      </c>
      <c r="F2495" s="2">
        <v>44137</v>
      </c>
      <c r="G2495" s="2">
        <v>44165</v>
      </c>
      <c r="H2495" s="3928" t="s">
        <v>17</v>
      </c>
      <c r="I2495" s="3" t="s">
        <v>2499</v>
      </c>
      <c r="J2495" s="3" t="s">
        <v>19</v>
      </c>
      <c r="K2495" s="3"/>
    </row>
    <row r="2496" spans="1:11" ht="43.2" x14ac:dyDescent="0.3">
      <c r="A2496" s="3" t="s">
        <v>5042</v>
      </c>
      <c r="B2496" s="3" t="str">
        <f>"025980083"</f>
        <v>025980083</v>
      </c>
      <c r="C2496" s="3" t="s">
        <v>286</v>
      </c>
      <c r="D2496" s="3" t="s">
        <v>5047</v>
      </c>
      <c r="E2496" s="3" t="s">
        <v>412</v>
      </c>
      <c r="F2496" s="2">
        <v>44137</v>
      </c>
      <c r="G2496" s="2">
        <v>44165</v>
      </c>
      <c r="H2496" s="3929" t="s">
        <v>17</v>
      </c>
      <c r="I2496" s="3" t="s">
        <v>2499</v>
      </c>
      <c r="J2496" s="3" t="s">
        <v>19</v>
      </c>
      <c r="K2496" s="3"/>
    </row>
    <row r="2497" spans="1:11" ht="43.2" x14ac:dyDescent="0.3">
      <c r="A2497" s="3" t="s">
        <v>5042</v>
      </c>
      <c r="B2497" s="3" t="str">
        <f>"025980071"</f>
        <v>025980071</v>
      </c>
      <c r="C2497" s="3" t="s">
        <v>286</v>
      </c>
      <c r="D2497" s="3" t="s">
        <v>5048</v>
      </c>
      <c r="E2497" s="3" t="s">
        <v>412</v>
      </c>
      <c r="F2497" s="2">
        <v>44137</v>
      </c>
      <c r="G2497" s="2">
        <v>44165</v>
      </c>
      <c r="H2497" s="3930" t="s">
        <v>17</v>
      </c>
      <c r="I2497" s="3" t="s">
        <v>2499</v>
      </c>
      <c r="J2497" s="3" t="s">
        <v>19</v>
      </c>
      <c r="K2497" s="3"/>
    </row>
    <row r="2498" spans="1:11" ht="43.2" x14ac:dyDescent="0.3">
      <c r="A2498" s="3" t="s">
        <v>5042</v>
      </c>
      <c r="B2498" s="3" t="str">
        <f>"025980069"</f>
        <v>025980069</v>
      </c>
      <c r="C2498" s="3" t="s">
        <v>286</v>
      </c>
      <c r="D2498" s="3" t="s">
        <v>5049</v>
      </c>
      <c r="E2498" s="3" t="s">
        <v>412</v>
      </c>
      <c r="F2498" s="2">
        <v>44137</v>
      </c>
      <c r="G2498" s="2">
        <v>44165</v>
      </c>
      <c r="H2498" s="3931" t="s">
        <v>17</v>
      </c>
      <c r="I2498" s="3" t="s">
        <v>2499</v>
      </c>
      <c r="J2498" s="3" t="s">
        <v>19</v>
      </c>
      <c r="K2498" s="3"/>
    </row>
    <row r="2499" spans="1:11" ht="43.2" x14ac:dyDescent="0.3">
      <c r="A2499" s="3" t="s">
        <v>5042</v>
      </c>
      <c r="B2499" s="3" t="str">
        <f>"025980057"</f>
        <v>025980057</v>
      </c>
      <c r="C2499" s="3" t="s">
        <v>286</v>
      </c>
      <c r="D2499" s="3" t="s">
        <v>5050</v>
      </c>
      <c r="E2499" s="3" t="s">
        <v>412</v>
      </c>
      <c r="F2499" s="2">
        <v>44137</v>
      </c>
      <c r="G2499" s="2">
        <v>44165</v>
      </c>
      <c r="H2499" s="3932" t="s">
        <v>17</v>
      </c>
      <c r="I2499" s="3" t="s">
        <v>2499</v>
      </c>
      <c r="J2499" s="3" t="s">
        <v>19</v>
      </c>
      <c r="K2499" s="3"/>
    </row>
    <row r="2500" spans="1:11" ht="43.2" x14ac:dyDescent="0.3">
      <c r="A2500" s="3" t="s">
        <v>5051</v>
      </c>
      <c r="B2500" s="3" t="str">
        <f>"038744088"</f>
        <v>038744088</v>
      </c>
      <c r="C2500" s="3" t="s">
        <v>5052</v>
      </c>
      <c r="D2500" s="3" t="s">
        <v>5053</v>
      </c>
      <c r="E2500" s="3" t="s">
        <v>1255</v>
      </c>
      <c r="F2500" s="2">
        <v>41061</v>
      </c>
      <c r="G2500" s="2"/>
      <c r="H2500" s="3933" t="s">
        <v>17</v>
      </c>
      <c r="I2500" s="3934" t="s">
        <v>32</v>
      </c>
      <c r="J2500" s="3" t="s">
        <v>19</v>
      </c>
      <c r="K2500" s="3"/>
    </row>
    <row r="2501" spans="1:11" ht="43.2" x14ac:dyDescent="0.3">
      <c r="A2501" s="3" t="s">
        <v>5051</v>
      </c>
      <c r="B2501" s="3" t="str">
        <f>"038744052"</f>
        <v>038744052</v>
      </c>
      <c r="C2501" s="3" t="s">
        <v>5052</v>
      </c>
      <c r="D2501" s="3" t="s">
        <v>5054</v>
      </c>
      <c r="E2501" s="3" t="s">
        <v>1255</v>
      </c>
      <c r="F2501" s="2">
        <v>43343</v>
      </c>
      <c r="G2501" s="2"/>
      <c r="H2501" s="3935" t="s">
        <v>17</v>
      </c>
      <c r="I2501" s="3936" t="s">
        <v>32</v>
      </c>
      <c r="J2501" s="3" t="s">
        <v>19</v>
      </c>
      <c r="K2501" s="3"/>
    </row>
    <row r="2502" spans="1:11" ht="72" x14ac:dyDescent="0.3">
      <c r="A2502" s="3" t="s">
        <v>5055</v>
      </c>
      <c r="B2502" s="3" t="str">
        <f>"037357011"</f>
        <v>037357011</v>
      </c>
      <c r="C2502" s="3" t="s">
        <v>4331</v>
      </c>
      <c r="D2502" s="3" t="s">
        <v>1082</v>
      </c>
      <c r="E2502" s="3" t="s">
        <v>315</v>
      </c>
      <c r="F2502" s="2">
        <v>43388</v>
      </c>
      <c r="G2502" s="2"/>
      <c r="H2502" s="3937" t="s">
        <v>17</v>
      </c>
      <c r="I2502" s="3938" t="s">
        <v>18</v>
      </c>
      <c r="J2502" s="3" t="s">
        <v>19</v>
      </c>
      <c r="K2502" s="3"/>
    </row>
    <row r="2503" spans="1:11" ht="43.2" x14ac:dyDescent="0.3">
      <c r="A2503" s="3" t="s">
        <v>5056</v>
      </c>
      <c r="B2503" s="3" t="str">
        <f>"039226079"</f>
        <v>039226079</v>
      </c>
      <c r="C2503" s="3" t="s">
        <v>4343</v>
      </c>
      <c r="D2503" s="3" t="s">
        <v>5057</v>
      </c>
      <c r="E2503" s="3" t="s">
        <v>685</v>
      </c>
      <c r="F2503" s="2">
        <v>43993</v>
      </c>
      <c r="G2503" s="2"/>
      <c r="H2503" s="3939" t="s">
        <v>17</v>
      </c>
      <c r="I2503" s="3" t="s">
        <v>41</v>
      </c>
      <c r="J2503" s="3" t="s">
        <v>19</v>
      </c>
      <c r="K2503" s="3"/>
    </row>
    <row r="2504" spans="1:11" ht="86.4" x14ac:dyDescent="0.3">
      <c r="A2504" s="3" t="s">
        <v>5058</v>
      </c>
      <c r="B2504" s="3" t="str">
        <f>"036892014"</f>
        <v>036892014</v>
      </c>
      <c r="C2504" s="3" t="s">
        <v>5059</v>
      </c>
      <c r="D2504" s="3" t="s">
        <v>5060</v>
      </c>
      <c r="E2504" s="3" t="s">
        <v>1658</v>
      </c>
      <c r="F2504" s="2">
        <v>41214</v>
      </c>
      <c r="G2504" s="2"/>
      <c r="H2504" s="3940" t="s">
        <v>17</v>
      </c>
      <c r="I2504" s="3941" t="s">
        <v>18</v>
      </c>
      <c r="J2504" s="3" t="s">
        <v>19</v>
      </c>
      <c r="K2504" s="3"/>
    </row>
    <row r="2505" spans="1:11" ht="43.2" x14ac:dyDescent="0.3">
      <c r="A2505" s="3" t="s">
        <v>5061</v>
      </c>
      <c r="B2505" s="3" t="str">
        <f>"042868012"</f>
        <v>042868012</v>
      </c>
      <c r="C2505" s="3" t="s">
        <v>5062</v>
      </c>
      <c r="D2505" s="3" t="s">
        <v>5063</v>
      </c>
      <c r="E2505" s="3" t="s">
        <v>5064</v>
      </c>
      <c r="F2505" s="2">
        <v>44255</v>
      </c>
      <c r="G2505" s="2"/>
      <c r="H2505" s="3942" t="s">
        <v>37</v>
      </c>
      <c r="I2505" s="3943" t="s">
        <v>18</v>
      </c>
      <c r="J2505" s="3" t="s">
        <v>19</v>
      </c>
      <c r="K2505" s="3"/>
    </row>
    <row r="2506" spans="1:11" ht="72" x14ac:dyDescent="0.3">
      <c r="A2506" s="3" t="s">
        <v>5065</v>
      </c>
      <c r="B2506" s="3" t="str">
        <f>"043660012"</f>
        <v>043660012</v>
      </c>
      <c r="C2506" s="3" t="s">
        <v>5066</v>
      </c>
      <c r="D2506" s="3" t="s">
        <v>4425</v>
      </c>
      <c r="E2506" s="3" t="s">
        <v>3184</v>
      </c>
      <c r="F2506" s="2">
        <v>43427</v>
      </c>
      <c r="G2506" s="2"/>
      <c r="H2506" s="3944" t="s">
        <v>17</v>
      </c>
      <c r="I2506" s="3945" t="s">
        <v>32</v>
      </c>
      <c r="J2506" s="3" t="s">
        <v>19</v>
      </c>
      <c r="K2506" s="3"/>
    </row>
    <row r="2507" spans="1:11" ht="43.2" x14ac:dyDescent="0.3">
      <c r="A2507" s="3" t="s">
        <v>5067</v>
      </c>
      <c r="B2507" s="3" t="str">
        <f>"035023011"</f>
        <v>035023011</v>
      </c>
      <c r="C2507" s="3" t="s">
        <v>5068</v>
      </c>
      <c r="D2507" s="3" t="s">
        <v>5069</v>
      </c>
      <c r="E2507" s="3" t="s">
        <v>151</v>
      </c>
      <c r="F2507" s="2">
        <v>44172</v>
      </c>
      <c r="G2507" s="2">
        <v>44232</v>
      </c>
      <c r="H2507" s="3946" t="s">
        <v>17</v>
      </c>
      <c r="I2507" s="3" t="s">
        <v>41</v>
      </c>
      <c r="J2507" s="3" t="s">
        <v>19</v>
      </c>
      <c r="K2507" s="3"/>
    </row>
    <row r="2508" spans="1:11" ht="43.2" x14ac:dyDescent="0.3">
      <c r="A2508" s="3" t="s">
        <v>5067</v>
      </c>
      <c r="B2508" s="3" t="str">
        <f>"035023023"</f>
        <v>035023023</v>
      </c>
      <c r="C2508" s="3" t="s">
        <v>5068</v>
      </c>
      <c r="D2508" s="3" t="s">
        <v>5070</v>
      </c>
      <c r="E2508" s="3" t="s">
        <v>151</v>
      </c>
      <c r="F2508" s="2">
        <v>44172</v>
      </c>
      <c r="G2508" s="2">
        <v>44239</v>
      </c>
      <c r="H2508" s="3947" t="s">
        <v>17</v>
      </c>
      <c r="I2508" s="3" t="s">
        <v>41</v>
      </c>
      <c r="J2508" s="3" t="s">
        <v>19</v>
      </c>
      <c r="K2508" s="3"/>
    </row>
    <row r="2509" spans="1:11" ht="43.2" x14ac:dyDescent="0.3">
      <c r="A2509" s="3" t="s">
        <v>5071</v>
      </c>
      <c r="B2509" s="3" t="str">
        <f>"037199027"</f>
        <v>037199027</v>
      </c>
      <c r="C2509" s="3" t="s">
        <v>792</v>
      </c>
      <c r="D2509" s="3" t="s">
        <v>5072</v>
      </c>
      <c r="E2509" s="3" t="s">
        <v>151</v>
      </c>
      <c r="F2509" s="2">
        <v>44075</v>
      </c>
      <c r="G2509" s="2">
        <v>44196</v>
      </c>
      <c r="H2509" s="3948" t="s">
        <v>17</v>
      </c>
      <c r="I2509" s="3" t="s">
        <v>41</v>
      </c>
      <c r="J2509" s="3" t="s">
        <v>19</v>
      </c>
      <c r="K2509" s="3"/>
    </row>
    <row r="2510" spans="1:11" ht="43.2" x14ac:dyDescent="0.3">
      <c r="A2510" s="3" t="s">
        <v>5073</v>
      </c>
      <c r="B2510" s="3" t="str">
        <f>"038542027"</f>
        <v>038542027</v>
      </c>
      <c r="C2510" s="3" t="s">
        <v>792</v>
      </c>
      <c r="D2510" s="3" t="s">
        <v>5074</v>
      </c>
      <c r="E2510" s="3" t="s">
        <v>151</v>
      </c>
      <c r="F2510" s="2">
        <v>44249</v>
      </c>
      <c r="G2510" s="2">
        <v>44286</v>
      </c>
      <c r="H2510" s="3949" t="s">
        <v>17</v>
      </c>
      <c r="I2510" s="3" t="s">
        <v>41</v>
      </c>
      <c r="J2510" s="3" t="s">
        <v>19</v>
      </c>
      <c r="K2510" s="3"/>
    </row>
    <row r="2511" spans="1:11" ht="43.2" x14ac:dyDescent="0.3">
      <c r="A2511" s="3" t="s">
        <v>5073</v>
      </c>
      <c r="B2511" s="3" t="str">
        <f>"038542015"</f>
        <v>038542015</v>
      </c>
      <c r="C2511" s="3" t="s">
        <v>792</v>
      </c>
      <c r="D2511" s="3" t="s">
        <v>5075</v>
      </c>
      <c r="E2511" s="3" t="s">
        <v>151</v>
      </c>
      <c r="F2511" s="2">
        <v>44105</v>
      </c>
      <c r="G2511" s="2">
        <v>44196</v>
      </c>
      <c r="H2511" s="3950" t="s">
        <v>17</v>
      </c>
      <c r="I2511" s="3" t="s">
        <v>41</v>
      </c>
      <c r="J2511" s="3" t="s">
        <v>19</v>
      </c>
      <c r="K2511" s="3"/>
    </row>
    <row r="2512" spans="1:11" ht="43.2" x14ac:dyDescent="0.3">
      <c r="A2512" s="3" t="s">
        <v>5076</v>
      </c>
      <c r="B2512" s="3" t="str">
        <f>"029305036"</f>
        <v>029305036</v>
      </c>
      <c r="C2512" s="3" t="s">
        <v>5077</v>
      </c>
      <c r="D2512" s="3" t="s">
        <v>5078</v>
      </c>
      <c r="E2512" s="3" t="s">
        <v>425</v>
      </c>
      <c r="F2512" s="2">
        <v>43997</v>
      </c>
      <c r="G2512" s="2"/>
      <c r="H2512" s="3951" t="s">
        <v>37</v>
      </c>
      <c r="I2512" s="3952" t="s">
        <v>18</v>
      </c>
      <c r="J2512" s="3" t="s">
        <v>19</v>
      </c>
      <c r="K2512" s="3"/>
    </row>
    <row r="2513" spans="1:11" ht="72" x14ac:dyDescent="0.3">
      <c r="A2513" s="3" t="s">
        <v>5079</v>
      </c>
      <c r="B2513" s="3" t="str">
        <f>"044514038"</f>
        <v>044514038</v>
      </c>
      <c r="C2513" s="3" t="s">
        <v>5080</v>
      </c>
      <c r="D2513" s="3" t="s">
        <v>5081</v>
      </c>
      <c r="E2513" s="3" t="s">
        <v>5082</v>
      </c>
      <c r="F2513" s="2">
        <v>44255</v>
      </c>
      <c r="G2513" s="2"/>
      <c r="H2513" s="3953" t="s">
        <v>37</v>
      </c>
      <c r="I2513" s="3954" t="s">
        <v>18</v>
      </c>
      <c r="J2513" s="3" t="s">
        <v>19</v>
      </c>
      <c r="K2513" s="3"/>
    </row>
    <row r="2514" spans="1:11" ht="43.2" x14ac:dyDescent="0.3">
      <c r="A2514" s="3" t="s">
        <v>5083</v>
      </c>
      <c r="B2514" s="3" t="str">
        <f>"024448021"</f>
        <v>024448021</v>
      </c>
      <c r="C2514" s="3" t="s">
        <v>854</v>
      </c>
      <c r="D2514" s="3" t="s">
        <v>5084</v>
      </c>
      <c r="E2514" s="3" t="s">
        <v>604</v>
      </c>
      <c r="F2514" s="2">
        <v>43733</v>
      </c>
      <c r="G2514" s="2"/>
      <c r="H2514" s="3955" t="s">
        <v>17</v>
      </c>
      <c r="I2514" s="3956" t="s">
        <v>18</v>
      </c>
      <c r="J2514" s="3" t="s">
        <v>19</v>
      </c>
      <c r="K2514" s="3"/>
    </row>
    <row r="2515" spans="1:11" ht="43.2" x14ac:dyDescent="0.3">
      <c r="A2515" s="3" t="s">
        <v>5083</v>
      </c>
      <c r="B2515" s="3" t="str">
        <f>"024448033"</f>
        <v>024448033</v>
      </c>
      <c r="C2515" s="3" t="s">
        <v>854</v>
      </c>
      <c r="D2515" s="3" t="s">
        <v>5085</v>
      </c>
      <c r="E2515" s="3" t="s">
        <v>604</v>
      </c>
      <c r="F2515" s="2">
        <v>43733</v>
      </c>
      <c r="G2515" s="2"/>
      <c r="H2515" s="3957" t="s">
        <v>17</v>
      </c>
      <c r="I2515" s="3958" t="s">
        <v>18</v>
      </c>
      <c r="J2515" s="3" t="s">
        <v>19</v>
      </c>
      <c r="K2515" s="3"/>
    </row>
    <row r="2516" spans="1:11" ht="43.2" x14ac:dyDescent="0.3">
      <c r="A2516" s="3" t="s">
        <v>5083</v>
      </c>
      <c r="B2516" s="3" t="str">
        <f>"024448058"</f>
        <v>024448058</v>
      </c>
      <c r="C2516" s="3" t="s">
        <v>854</v>
      </c>
      <c r="D2516" s="3" t="s">
        <v>5086</v>
      </c>
      <c r="E2516" s="3" t="s">
        <v>604</v>
      </c>
      <c r="F2516" s="2">
        <v>43733</v>
      </c>
      <c r="G2516" s="2"/>
      <c r="H2516" s="3959" t="s">
        <v>17</v>
      </c>
      <c r="I2516" s="3960" t="s">
        <v>18</v>
      </c>
      <c r="J2516" s="3" t="s">
        <v>19</v>
      </c>
      <c r="K2516" s="3"/>
    </row>
    <row r="2517" spans="1:11" ht="43.2" x14ac:dyDescent="0.3">
      <c r="A2517" s="3" t="s">
        <v>5083</v>
      </c>
      <c r="B2517" s="3" t="str">
        <f>"024448060"</f>
        <v>024448060</v>
      </c>
      <c r="C2517" s="3" t="s">
        <v>854</v>
      </c>
      <c r="D2517" s="3" t="s">
        <v>5087</v>
      </c>
      <c r="E2517" s="3" t="s">
        <v>604</v>
      </c>
      <c r="F2517" s="2">
        <v>43733</v>
      </c>
      <c r="G2517" s="2"/>
      <c r="H2517" s="3961" t="s">
        <v>17</v>
      </c>
      <c r="I2517" s="3962" t="s">
        <v>18</v>
      </c>
      <c r="J2517" s="3" t="s">
        <v>19</v>
      </c>
      <c r="K2517" s="3"/>
    </row>
    <row r="2518" spans="1:11" ht="43.2" x14ac:dyDescent="0.3">
      <c r="A2518" s="3" t="s">
        <v>5083</v>
      </c>
      <c r="B2518" s="3" t="str">
        <f>"024448072"</f>
        <v>024448072</v>
      </c>
      <c r="C2518" s="3" t="s">
        <v>854</v>
      </c>
      <c r="D2518" s="3" t="s">
        <v>4043</v>
      </c>
      <c r="E2518" s="3" t="s">
        <v>604</v>
      </c>
      <c r="F2518" s="2">
        <v>43733</v>
      </c>
      <c r="G2518" s="2"/>
      <c r="H2518" s="3963" t="s">
        <v>17</v>
      </c>
      <c r="I2518" s="3964" t="s">
        <v>18</v>
      </c>
      <c r="J2518" s="3" t="s">
        <v>19</v>
      </c>
      <c r="K2518" s="3"/>
    </row>
    <row r="2519" spans="1:11" ht="115.2" x14ac:dyDescent="0.3">
      <c r="A2519" s="3" t="s">
        <v>5088</v>
      </c>
      <c r="B2519" s="3" t="str">
        <f>"018930014"</f>
        <v>018930014</v>
      </c>
      <c r="C2519" s="3" t="s">
        <v>5089</v>
      </c>
      <c r="D2519" s="3" t="s">
        <v>5090</v>
      </c>
      <c r="E2519" s="3" t="s">
        <v>5091</v>
      </c>
      <c r="F2519" s="2">
        <v>43784</v>
      </c>
      <c r="G2519" s="2"/>
      <c r="H2519" s="3965" t="s">
        <v>17</v>
      </c>
      <c r="I2519" s="3966" t="s">
        <v>18</v>
      </c>
      <c r="J2519" s="3" t="s">
        <v>19</v>
      </c>
      <c r="K2519" s="3" t="s">
        <v>5092</v>
      </c>
    </row>
    <row r="2520" spans="1:11" ht="43.2" x14ac:dyDescent="0.3">
      <c r="A2520" s="3" t="s">
        <v>5093</v>
      </c>
      <c r="B2520" s="3" t="str">
        <f>"037678012"</f>
        <v>037678012</v>
      </c>
      <c r="C2520" s="3" t="s">
        <v>349</v>
      </c>
      <c r="D2520" s="3" t="s">
        <v>350</v>
      </c>
      <c r="E2520" s="3" t="s">
        <v>126</v>
      </c>
      <c r="F2520" s="2">
        <v>43221</v>
      </c>
      <c r="G2520" s="2"/>
      <c r="H2520" s="3967" t="s">
        <v>17</v>
      </c>
      <c r="I2520" s="3968" t="s">
        <v>32</v>
      </c>
      <c r="J2520" s="3" t="s">
        <v>19</v>
      </c>
      <c r="K2520" s="3"/>
    </row>
    <row r="2521" spans="1:11" ht="43.2" x14ac:dyDescent="0.3">
      <c r="A2521" s="3" t="s">
        <v>5093</v>
      </c>
      <c r="B2521" s="3" t="str">
        <f>"037678024"</f>
        <v>037678024</v>
      </c>
      <c r="C2521" s="3" t="s">
        <v>349</v>
      </c>
      <c r="D2521" s="3" t="s">
        <v>5094</v>
      </c>
      <c r="E2521" s="3" t="s">
        <v>126</v>
      </c>
      <c r="F2521" s="2">
        <v>43313</v>
      </c>
      <c r="G2521" s="2"/>
      <c r="H2521" s="3969" t="s">
        <v>17</v>
      </c>
      <c r="I2521" s="3970" t="s">
        <v>32</v>
      </c>
      <c r="J2521" s="3" t="s">
        <v>19</v>
      </c>
      <c r="K2521" s="3"/>
    </row>
    <row r="2522" spans="1:11" ht="57.6" x14ac:dyDescent="0.3">
      <c r="A2522" s="3" t="s">
        <v>5095</v>
      </c>
      <c r="B2522" s="3" t="str">
        <f>"027441031"</f>
        <v>027441031</v>
      </c>
      <c r="C2522" s="3" t="s">
        <v>2413</v>
      </c>
      <c r="D2522" s="3" t="s">
        <v>5096</v>
      </c>
      <c r="E2522" s="3" t="s">
        <v>412</v>
      </c>
      <c r="F2522" s="2">
        <v>43279</v>
      </c>
      <c r="G2522" s="2"/>
      <c r="H2522" s="3971" t="s">
        <v>37</v>
      </c>
      <c r="I2522" s="3972" t="s">
        <v>18</v>
      </c>
      <c r="J2522" s="3" t="s">
        <v>156</v>
      </c>
      <c r="K2522" s="3"/>
    </row>
    <row r="2523" spans="1:11" ht="57.6" x14ac:dyDescent="0.3">
      <c r="A2523" s="3" t="s">
        <v>5095</v>
      </c>
      <c r="B2523" s="3" t="str">
        <f>"027441043"</f>
        <v>027441043</v>
      </c>
      <c r="C2523" s="3" t="s">
        <v>2413</v>
      </c>
      <c r="D2523" s="3" t="s">
        <v>5097</v>
      </c>
      <c r="E2523" s="3" t="s">
        <v>412</v>
      </c>
      <c r="F2523" s="2">
        <v>43091</v>
      </c>
      <c r="G2523" s="2"/>
      <c r="H2523" s="3973" t="s">
        <v>37</v>
      </c>
      <c r="I2523" s="3974" t="s">
        <v>18</v>
      </c>
      <c r="J2523" s="3" t="s">
        <v>156</v>
      </c>
      <c r="K2523" s="3"/>
    </row>
    <row r="2524" spans="1:11" ht="57.6" x14ac:dyDescent="0.3">
      <c r="A2524" s="3" t="s">
        <v>5095</v>
      </c>
      <c r="B2524" s="3" t="str">
        <f>"027441056"</f>
        <v>027441056</v>
      </c>
      <c r="C2524" s="3" t="s">
        <v>2413</v>
      </c>
      <c r="D2524" s="3" t="s">
        <v>5098</v>
      </c>
      <c r="E2524" s="3" t="s">
        <v>412</v>
      </c>
      <c r="F2524" s="2">
        <v>43465</v>
      </c>
      <c r="G2524" s="2"/>
      <c r="H2524" s="3975" t="s">
        <v>37</v>
      </c>
      <c r="I2524" s="3976" t="s">
        <v>18</v>
      </c>
      <c r="J2524" s="3" t="s">
        <v>156</v>
      </c>
      <c r="K2524" s="3"/>
    </row>
    <row r="2525" spans="1:11" ht="43.2" x14ac:dyDescent="0.3">
      <c r="A2525" s="3" t="s">
        <v>5099</v>
      </c>
      <c r="B2525" s="3" t="str">
        <f>"037996028"</f>
        <v>037996028</v>
      </c>
      <c r="C2525" s="3" t="s">
        <v>1470</v>
      </c>
      <c r="D2525" s="3" t="s">
        <v>5100</v>
      </c>
      <c r="E2525" s="3" t="s">
        <v>878</v>
      </c>
      <c r="F2525" s="2">
        <v>43862</v>
      </c>
      <c r="G2525" s="2"/>
      <c r="H2525" s="3977" t="s">
        <v>17</v>
      </c>
      <c r="I2525" s="3978" t="s">
        <v>32</v>
      </c>
      <c r="J2525" s="3" t="s">
        <v>19</v>
      </c>
      <c r="K2525" s="3"/>
    </row>
    <row r="2526" spans="1:11" ht="43.2" x14ac:dyDescent="0.3">
      <c r="A2526" s="3" t="s">
        <v>5099</v>
      </c>
      <c r="B2526" s="3" t="str">
        <f>"037996030"</f>
        <v>037996030</v>
      </c>
      <c r="C2526" s="3" t="s">
        <v>1470</v>
      </c>
      <c r="D2526" s="3" t="s">
        <v>5101</v>
      </c>
      <c r="E2526" s="3" t="s">
        <v>878</v>
      </c>
      <c r="F2526" s="2">
        <v>43983</v>
      </c>
      <c r="G2526" s="2">
        <v>44348</v>
      </c>
      <c r="H2526" s="3979" t="s">
        <v>17</v>
      </c>
      <c r="I2526" s="3980" t="s">
        <v>32</v>
      </c>
      <c r="J2526" s="3" t="s">
        <v>19</v>
      </c>
      <c r="K2526" s="3"/>
    </row>
    <row r="2527" spans="1:11" ht="43.2" x14ac:dyDescent="0.3">
      <c r="A2527" s="3" t="s">
        <v>5099</v>
      </c>
      <c r="B2527" s="3" t="str">
        <f>"037996042"</f>
        <v>037996042</v>
      </c>
      <c r="C2527" s="3" t="s">
        <v>1470</v>
      </c>
      <c r="D2527" s="3" t="s">
        <v>5102</v>
      </c>
      <c r="E2527" s="3" t="s">
        <v>878</v>
      </c>
      <c r="F2527" s="2">
        <v>43862</v>
      </c>
      <c r="G2527" s="2"/>
      <c r="H2527" s="3981" t="s">
        <v>17</v>
      </c>
      <c r="I2527" s="3982" t="s">
        <v>32</v>
      </c>
      <c r="J2527" s="3" t="s">
        <v>19</v>
      </c>
      <c r="K2527" s="3"/>
    </row>
    <row r="2528" spans="1:11" ht="43.2" x14ac:dyDescent="0.3">
      <c r="A2528" s="3" t="s">
        <v>5103</v>
      </c>
      <c r="B2528" s="3" t="str">
        <f>"034935650"</f>
        <v>034935650</v>
      </c>
      <c r="C2528" s="3" t="s">
        <v>5104</v>
      </c>
      <c r="D2528" s="3" t="s">
        <v>5105</v>
      </c>
      <c r="E2528" s="3" t="s">
        <v>288</v>
      </c>
      <c r="F2528" s="2">
        <v>42521</v>
      </c>
      <c r="G2528" s="2"/>
      <c r="H2528" s="3983" t="s">
        <v>17</v>
      </c>
      <c r="I2528" s="3984" t="s">
        <v>18</v>
      </c>
      <c r="J2528" s="3" t="s">
        <v>19</v>
      </c>
      <c r="K2528" s="3"/>
    </row>
    <row r="2529" spans="1:11" ht="43.2" x14ac:dyDescent="0.3">
      <c r="A2529" s="3" t="s">
        <v>5103</v>
      </c>
      <c r="B2529" s="3" t="str">
        <f>"034935561"</f>
        <v>034935561</v>
      </c>
      <c r="C2529" s="3" t="s">
        <v>5104</v>
      </c>
      <c r="D2529" s="3" t="s">
        <v>5106</v>
      </c>
      <c r="E2529" s="3" t="s">
        <v>288</v>
      </c>
      <c r="F2529" s="2">
        <v>42521</v>
      </c>
      <c r="G2529" s="2"/>
      <c r="H2529" s="3985" t="s">
        <v>17</v>
      </c>
      <c r="I2529" s="3986" t="s">
        <v>18</v>
      </c>
      <c r="J2529" s="3" t="s">
        <v>19</v>
      </c>
      <c r="K2529" s="3"/>
    </row>
    <row r="2530" spans="1:11" ht="43.2" x14ac:dyDescent="0.3">
      <c r="A2530" s="3" t="s">
        <v>5103</v>
      </c>
      <c r="B2530" s="3" t="str">
        <f>"034935472"</f>
        <v>034935472</v>
      </c>
      <c r="C2530" s="3" t="s">
        <v>5104</v>
      </c>
      <c r="D2530" s="3" t="s">
        <v>5107</v>
      </c>
      <c r="E2530" s="3" t="s">
        <v>288</v>
      </c>
      <c r="F2530" s="2">
        <v>42521</v>
      </c>
      <c r="G2530" s="2"/>
      <c r="H2530" s="3987" t="s">
        <v>17</v>
      </c>
      <c r="I2530" s="3988" t="s">
        <v>18</v>
      </c>
      <c r="J2530" s="3" t="s">
        <v>19</v>
      </c>
      <c r="K2530" s="3"/>
    </row>
    <row r="2531" spans="1:11" ht="43.2" x14ac:dyDescent="0.3">
      <c r="A2531" s="3" t="s">
        <v>5103</v>
      </c>
      <c r="B2531" s="3" t="str">
        <f>"034935383"</f>
        <v>034935383</v>
      </c>
      <c r="C2531" s="3" t="s">
        <v>5104</v>
      </c>
      <c r="D2531" s="3" t="s">
        <v>5108</v>
      </c>
      <c r="E2531" s="3" t="s">
        <v>288</v>
      </c>
      <c r="F2531" s="2">
        <v>42521</v>
      </c>
      <c r="G2531" s="2"/>
      <c r="H2531" s="3989" t="s">
        <v>17</v>
      </c>
      <c r="I2531" s="3990" t="s">
        <v>18</v>
      </c>
      <c r="J2531" s="3" t="s">
        <v>19</v>
      </c>
      <c r="K2531" s="3"/>
    </row>
    <row r="2532" spans="1:11" ht="43.2" x14ac:dyDescent="0.3">
      <c r="A2532" s="3" t="s">
        <v>5109</v>
      </c>
      <c r="B2532" s="3" t="str">
        <f>"036374130"</f>
        <v>036374130</v>
      </c>
      <c r="C2532" s="3" t="s">
        <v>3638</v>
      </c>
      <c r="D2532" s="3" t="s">
        <v>5110</v>
      </c>
      <c r="E2532" s="3" t="s">
        <v>882</v>
      </c>
      <c r="F2532" s="2">
        <v>44137</v>
      </c>
      <c r="G2532" s="2">
        <v>44227</v>
      </c>
      <c r="H2532" s="3991" t="s">
        <v>17</v>
      </c>
      <c r="I2532" s="3" t="s">
        <v>92</v>
      </c>
      <c r="J2532" s="3" t="s">
        <v>240</v>
      </c>
      <c r="K2532" s="3"/>
    </row>
    <row r="2533" spans="1:11" ht="57.6" x14ac:dyDescent="0.3">
      <c r="A2533" s="3" t="s">
        <v>5111</v>
      </c>
      <c r="B2533" s="3" t="str">
        <f>"027096041"</f>
        <v>027096041</v>
      </c>
      <c r="C2533" s="3" t="s">
        <v>5112</v>
      </c>
      <c r="D2533" s="3" t="s">
        <v>5113</v>
      </c>
      <c r="E2533" s="3" t="s">
        <v>5114</v>
      </c>
      <c r="F2533" s="2">
        <v>44105</v>
      </c>
      <c r="G2533" s="2">
        <v>44166</v>
      </c>
      <c r="H2533" s="3992" t="s">
        <v>37</v>
      </c>
      <c r="I2533" s="3" t="s">
        <v>41</v>
      </c>
      <c r="J2533" s="3" t="s">
        <v>156</v>
      </c>
      <c r="K2533" s="3"/>
    </row>
    <row r="2534" spans="1:11" ht="43.2" x14ac:dyDescent="0.3">
      <c r="A2534" s="3" t="s">
        <v>5115</v>
      </c>
      <c r="B2534" s="3" t="str">
        <f>"032803049"</f>
        <v>032803049</v>
      </c>
      <c r="C2534" s="3" t="s">
        <v>5116</v>
      </c>
      <c r="D2534" s="3" t="s">
        <v>5117</v>
      </c>
      <c r="E2534" s="3" t="s">
        <v>3421</v>
      </c>
      <c r="F2534" s="2">
        <v>43466</v>
      </c>
      <c r="G2534" s="2"/>
      <c r="H2534" s="3993" t="s">
        <v>37</v>
      </c>
      <c r="I2534" s="3994" t="s">
        <v>18</v>
      </c>
      <c r="J2534" s="3" t="s">
        <v>19</v>
      </c>
      <c r="K2534" s="3"/>
    </row>
    <row r="2535" spans="1:11" ht="43.2" x14ac:dyDescent="0.3">
      <c r="A2535" s="3" t="s">
        <v>5115</v>
      </c>
      <c r="B2535" s="3" t="str">
        <f>"032803064"</f>
        <v>032803064</v>
      </c>
      <c r="C2535" s="3" t="s">
        <v>5116</v>
      </c>
      <c r="D2535" s="3" t="s">
        <v>5118</v>
      </c>
      <c r="E2535" s="3" t="s">
        <v>3421</v>
      </c>
      <c r="F2535" s="2">
        <v>43623</v>
      </c>
      <c r="G2535" s="2"/>
      <c r="H2535" s="3995" t="s">
        <v>37</v>
      </c>
      <c r="I2535" s="3996" t="s">
        <v>18</v>
      </c>
      <c r="J2535" s="3" t="s">
        <v>19</v>
      </c>
      <c r="K2535" s="3"/>
    </row>
    <row r="2536" spans="1:11" ht="43.2" x14ac:dyDescent="0.3">
      <c r="A2536" s="3" t="s">
        <v>5115</v>
      </c>
      <c r="B2536" s="3" t="str">
        <f>"032803088"</f>
        <v>032803088</v>
      </c>
      <c r="C2536" s="3" t="s">
        <v>5116</v>
      </c>
      <c r="D2536" s="3" t="s">
        <v>5119</v>
      </c>
      <c r="E2536" s="3" t="s">
        <v>3421</v>
      </c>
      <c r="F2536" s="2">
        <v>43623</v>
      </c>
      <c r="G2536" s="2"/>
      <c r="H2536" s="3997" t="s">
        <v>37</v>
      </c>
      <c r="I2536" s="3998" t="s">
        <v>18</v>
      </c>
      <c r="J2536" s="3" t="s">
        <v>19</v>
      </c>
      <c r="K2536" s="3"/>
    </row>
    <row r="2537" spans="1:11" ht="43.2" x14ac:dyDescent="0.3">
      <c r="A2537" s="3" t="s">
        <v>5115</v>
      </c>
      <c r="B2537" s="3" t="str">
        <f>"032803090"</f>
        <v>032803090</v>
      </c>
      <c r="C2537" s="3" t="s">
        <v>5116</v>
      </c>
      <c r="D2537" s="3" t="s">
        <v>5120</v>
      </c>
      <c r="E2537" s="3" t="s">
        <v>3421</v>
      </c>
      <c r="F2537" s="2">
        <v>41941</v>
      </c>
      <c r="G2537" s="2"/>
      <c r="H2537" s="3999" t="s">
        <v>37</v>
      </c>
      <c r="I2537" s="4000" t="s">
        <v>18</v>
      </c>
      <c r="J2537" s="3" t="s">
        <v>19</v>
      </c>
      <c r="K2537" s="3"/>
    </row>
    <row r="2538" spans="1:11" ht="57.6" x14ac:dyDescent="0.3">
      <c r="A2538" s="3" t="s">
        <v>5121</v>
      </c>
      <c r="B2538" s="3" t="str">
        <f>"034373035"</f>
        <v>034373035</v>
      </c>
      <c r="C2538" s="3" t="s">
        <v>2598</v>
      </c>
      <c r="D2538" s="3" t="s">
        <v>5122</v>
      </c>
      <c r="E2538" s="3" t="s">
        <v>803</v>
      </c>
      <c r="F2538" s="2">
        <v>42046</v>
      </c>
      <c r="G2538" s="2"/>
      <c r="H2538" s="4001" t="s">
        <v>17</v>
      </c>
      <c r="I2538" s="4002" t="s">
        <v>32</v>
      </c>
      <c r="J2538" s="3" t="s">
        <v>19</v>
      </c>
      <c r="K2538" s="3"/>
    </row>
    <row r="2539" spans="1:11" ht="43.2" x14ac:dyDescent="0.3">
      <c r="A2539" s="3" t="s">
        <v>5123</v>
      </c>
      <c r="B2539" s="3" t="str">
        <f>"025367044"</f>
        <v>025367044</v>
      </c>
      <c r="C2539" s="3" t="s">
        <v>3341</v>
      </c>
      <c r="D2539" s="3" t="s">
        <v>5124</v>
      </c>
      <c r="E2539" s="3" t="s">
        <v>425</v>
      </c>
      <c r="F2539" s="2">
        <v>41883</v>
      </c>
      <c r="G2539" s="2"/>
      <c r="H2539" s="4003" t="s">
        <v>17</v>
      </c>
      <c r="I2539" s="4004" t="s">
        <v>18</v>
      </c>
      <c r="J2539" s="3" t="s">
        <v>19</v>
      </c>
      <c r="K2539" s="3"/>
    </row>
    <row r="2540" spans="1:11" ht="57.6" x14ac:dyDescent="0.3">
      <c r="A2540" s="3" t="s">
        <v>5123</v>
      </c>
      <c r="B2540" s="3" t="str">
        <f>"025367071"</f>
        <v>025367071</v>
      </c>
      <c r="C2540" s="3" t="s">
        <v>5125</v>
      </c>
      <c r="D2540" s="3" t="s">
        <v>5126</v>
      </c>
      <c r="E2540" s="3" t="s">
        <v>425</v>
      </c>
      <c r="F2540" s="2">
        <v>41671</v>
      </c>
      <c r="G2540" s="2"/>
      <c r="H2540" s="4005" t="s">
        <v>17</v>
      </c>
      <c r="I2540" s="4006" t="s">
        <v>18</v>
      </c>
      <c r="J2540" s="3" t="s">
        <v>19</v>
      </c>
      <c r="K2540" s="3"/>
    </row>
    <row r="2541" spans="1:11" ht="43.2" x14ac:dyDescent="0.3">
      <c r="A2541" s="3" t="s">
        <v>5123</v>
      </c>
      <c r="B2541" s="3" t="str">
        <f>"025367057"</f>
        <v>025367057</v>
      </c>
      <c r="C2541" s="3" t="s">
        <v>3341</v>
      </c>
      <c r="D2541" s="3" t="s">
        <v>5127</v>
      </c>
      <c r="E2541" s="3" t="s">
        <v>425</v>
      </c>
      <c r="F2541" s="2">
        <v>41883</v>
      </c>
      <c r="G2541" s="2"/>
      <c r="H2541" s="4007" t="s">
        <v>17</v>
      </c>
      <c r="I2541" s="4008" t="s">
        <v>18</v>
      </c>
      <c r="J2541" s="3" t="s">
        <v>19</v>
      </c>
      <c r="K2541" s="3"/>
    </row>
    <row r="2542" spans="1:11" ht="43.2" x14ac:dyDescent="0.3">
      <c r="A2542" s="3" t="s">
        <v>5128</v>
      </c>
      <c r="B2542" s="3" t="str">
        <f>"023086061"</f>
        <v>023086061</v>
      </c>
      <c r="C2542" s="3" t="s">
        <v>373</v>
      </c>
      <c r="D2542" s="3" t="s">
        <v>414</v>
      </c>
      <c r="E2542" s="3" t="s">
        <v>412</v>
      </c>
      <c r="F2542" s="2">
        <v>42898</v>
      </c>
      <c r="G2542" s="2"/>
      <c r="H2542" s="4009" t="s">
        <v>17</v>
      </c>
      <c r="I2542" s="4010" t="s">
        <v>18</v>
      </c>
      <c r="J2542" s="3" t="s">
        <v>19</v>
      </c>
      <c r="K2542" s="3"/>
    </row>
    <row r="2543" spans="1:11" ht="57.6" x14ac:dyDescent="0.3">
      <c r="A2543" s="3" t="s">
        <v>5128</v>
      </c>
      <c r="B2543" s="3" t="str">
        <f>"023086186"</f>
        <v>023086186</v>
      </c>
      <c r="C2543" s="3" t="s">
        <v>373</v>
      </c>
      <c r="D2543" s="3" t="s">
        <v>5129</v>
      </c>
      <c r="E2543" s="3" t="s">
        <v>412</v>
      </c>
      <c r="F2543" s="2">
        <v>42825</v>
      </c>
      <c r="G2543" s="2"/>
      <c r="H2543" s="4011" t="s">
        <v>17</v>
      </c>
      <c r="I2543" s="4012" t="s">
        <v>18</v>
      </c>
      <c r="J2543" s="3" t="s">
        <v>19</v>
      </c>
      <c r="K2543" s="3"/>
    </row>
    <row r="2544" spans="1:11" ht="57.6" x14ac:dyDescent="0.3">
      <c r="A2544" s="3" t="s">
        <v>5130</v>
      </c>
      <c r="B2544" s="3" t="str">
        <f>"028734010"</f>
        <v>028734010</v>
      </c>
      <c r="C2544" s="3" t="s">
        <v>5131</v>
      </c>
      <c r="D2544" s="3" t="s">
        <v>5132</v>
      </c>
      <c r="E2544" s="3" t="s">
        <v>1558</v>
      </c>
      <c r="F2544" s="2">
        <v>44226</v>
      </c>
      <c r="G2544" s="2">
        <v>44377</v>
      </c>
      <c r="H2544" s="4013" t="s">
        <v>37</v>
      </c>
      <c r="I2544" s="3" t="s">
        <v>41</v>
      </c>
      <c r="J2544" s="3" t="s">
        <v>19</v>
      </c>
      <c r="K2544" s="3"/>
    </row>
    <row r="2545" spans="1:11" ht="43.2" x14ac:dyDescent="0.3">
      <c r="A2545" s="3" t="s">
        <v>5133</v>
      </c>
      <c r="B2545" s="3" t="str">
        <f>"026915049"</f>
        <v>026915049</v>
      </c>
      <c r="C2545" s="3" t="s">
        <v>3562</v>
      </c>
      <c r="D2545" s="3" t="s">
        <v>3563</v>
      </c>
      <c r="E2545" s="3" t="s">
        <v>604</v>
      </c>
      <c r="F2545" s="2">
        <v>43075</v>
      </c>
      <c r="G2545" s="2"/>
      <c r="H2545" s="4014" t="s">
        <v>17</v>
      </c>
      <c r="I2545" s="4015" t="s">
        <v>18</v>
      </c>
      <c r="J2545" s="3" t="s">
        <v>19</v>
      </c>
      <c r="K2545" s="3"/>
    </row>
    <row r="2546" spans="1:11" ht="43.2" x14ac:dyDescent="0.3">
      <c r="A2546" s="3" t="s">
        <v>5133</v>
      </c>
      <c r="B2546" s="3" t="str">
        <f>"026915052"</f>
        <v>026915052</v>
      </c>
      <c r="C2546" s="3" t="s">
        <v>3562</v>
      </c>
      <c r="D2546" s="3" t="s">
        <v>3564</v>
      </c>
      <c r="E2546" s="3" t="s">
        <v>604</v>
      </c>
      <c r="F2546" s="2">
        <v>41983</v>
      </c>
      <c r="G2546" s="2"/>
      <c r="H2546" s="4016" t="s">
        <v>37</v>
      </c>
      <c r="I2546" s="4017" t="s">
        <v>18</v>
      </c>
      <c r="J2546" s="3" t="s">
        <v>19</v>
      </c>
      <c r="K2546" s="3"/>
    </row>
    <row r="2547" spans="1:11" ht="43.2" x14ac:dyDescent="0.3">
      <c r="A2547" s="3" t="s">
        <v>5134</v>
      </c>
      <c r="B2547" s="3" t="str">
        <f>"041339363"</f>
        <v>041339363</v>
      </c>
      <c r="C2547" s="3" t="s">
        <v>5135</v>
      </c>
      <c r="D2547" s="3" t="s">
        <v>5136</v>
      </c>
      <c r="E2547" s="3" t="s">
        <v>107</v>
      </c>
      <c r="F2547" s="2">
        <v>43959</v>
      </c>
      <c r="G2547" s="2"/>
      <c r="H2547" s="4018" t="s">
        <v>17</v>
      </c>
      <c r="I2547" s="3" t="s">
        <v>41</v>
      </c>
      <c r="J2547" s="3" t="s">
        <v>19</v>
      </c>
      <c r="K2547" s="3"/>
    </row>
    <row r="2548" spans="1:11" ht="72" x14ac:dyDescent="0.3">
      <c r="A2548" s="3" t="s">
        <v>5137</v>
      </c>
      <c r="B2548" s="3" t="str">
        <f>"047629011"</f>
        <v>047629011</v>
      </c>
      <c r="C2548" s="3" t="s">
        <v>5138</v>
      </c>
      <c r="D2548" s="3" t="s">
        <v>5139</v>
      </c>
      <c r="E2548" s="3" t="s">
        <v>115</v>
      </c>
      <c r="F2548" s="2">
        <v>44105</v>
      </c>
      <c r="G2548" s="2">
        <v>44227</v>
      </c>
      <c r="H2548" s="4019" t="s">
        <v>17</v>
      </c>
      <c r="I2548" s="3" t="s">
        <v>178</v>
      </c>
      <c r="J2548" s="3" t="s">
        <v>240</v>
      </c>
      <c r="K2548" s="3"/>
    </row>
    <row r="2549" spans="1:11" ht="43.2" x14ac:dyDescent="0.3">
      <c r="A2549" s="3" t="s">
        <v>5140</v>
      </c>
      <c r="B2549" s="3" t="str">
        <f>"026894030"</f>
        <v>026894030</v>
      </c>
      <c r="C2549" s="3" t="s">
        <v>1081</v>
      </c>
      <c r="D2549" s="3" t="s">
        <v>5141</v>
      </c>
      <c r="E2549" s="3" t="s">
        <v>5142</v>
      </c>
      <c r="F2549" s="2">
        <v>41451</v>
      </c>
      <c r="G2549" s="2"/>
      <c r="H2549" s="4020" t="s">
        <v>37</v>
      </c>
      <c r="I2549" s="4021" t="s">
        <v>18</v>
      </c>
      <c r="J2549" s="3" t="s">
        <v>19</v>
      </c>
      <c r="K2549" s="3"/>
    </row>
    <row r="2550" spans="1:11" ht="57.6" x14ac:dyDescent="0.3">
      <c r="A2550" s="3" t="s">
        <v>5143</v>
      </c>
      <c r="B2550" s="3" t="str">
        <f>"027860156"</f>
        <v>027860156</v>
      </c>
      <c r="C2550" s="3" t="s">
        <v>5144</v>
      </c>
      <c r="D2550" s="3" t="s">
        <v>5145</v>
      </c>
      <c r="E2550" s="3" t="s">
        <v>412</v>
      </c>
      <c r="F2550" s="2">
        <v>43892</v>
      </c>
      <c r="G2550" s="2">
        <v>44196</v>
      </c>
      <c r="H2550" s="4022" t="s">
        <v>17</v>
      </c>
      <c r="I2550" s="3" t="s">
        <v>843</v>
      </c>
      <c r="J2550" s="3" t="s">
        <v>156</v>
      </c>
      <c r="K2550" s="3"/>
    </row>
    <row r="2551" spans="1:11" ht="57.6" x14ac:dyDescent="0.3">
      <c r="A2551" s="3" t="s">
        <v>5146</v>
      </c>
      <c r="B2551" s="3" t="str">
        <f>"027612074"</f>
        <v>027612074</v>
      </c>
      <c r="C2551" s="3" t="s">
        <v>3544</v>
      </c>
      <c r="D2551" s="3" t="s">
        <v>5147</v>
      </c>
      <c r="E2551" s="3" t="s">
        <v>1416</v>
      </c>
      <c r="F2551" s="2">
        <v>44227</v>
      </c>
      <c r="G2551" s="2"/>
      <c r="H2551" s="4023" t="s">
        <v>37</v>
      </c>
      <c r="I2551" s="4024" t="s">
        <v>18</v>
      </c>
      <c r="J2551" s="3" t="s">
        <v>156</v>
      </c>
      <c r="K2551" s="3"/>
    </row>
    <row r="2552" spans="1:11" ht="43.2" x14ac:dyDescent="0.3">
      <c r="A2552" s="3" t="s">
        <v>5146</v>
      </c>
      <c r="B2552" s="3" t="str">
        <f>"027612136"</f>
        <v>027612136</v>
      </c>
      <c r="C2552" s="3" t="s">
        <v>3544</v>
      </c>
      <c r="D2552" s="3" t="s">
        <v>5148</v>
      </c>
      <c r="E2552" s="3" t="s">
        <v>1416</v>
      </c>
      <c r="F2552" s="2">
        <v>42655</v>
      </c>
      <c r="G2552" s="2"/>
      <c r="H2552" s="4025" t="s">
        <v>17</v>
      </c>
      <c r="I2552" s="4026" t="s">
        <v>18</v>
      </c>
      <c r="J2552" s="3" t="s">
        <v>19</v>
      </c>
      <c r="K2552" s="3"/>
    </row>
    <row r="2553" spans="1:11" ht="43.2" x14ac:dyDescent="0.3">
      <c r="A2553" s="3" t="s">
        <v>5146</v>
      </c>
      <c r="B2553" s="3" t="str">
        <f>"027612086"</f>
        <v>027612086</v>
      </c>
      <c r="C2553" s="3" t="s">
        <v>3544</v>
      </c>
      <c r="D2553" s="3" t="s">
        <v>5149</v>
      </c>
      <c r="E2553" s="3" t="s">
        <v>1416</v>
      </c>
      <c r="F2553" s="2">
        <v>44286</v>
      </c>
      <c r="G2553" s="2"/>
      <c r="H2553" s="4027" t="s">
        <v>37</v>
      </c>
      <c r="I2553" s="3" t="s">
        <v>41</v>
      </c>
      <c r="J2553" s="3" t="s">
        <v>19</v>
      </c>
      <c r="K2553" s="3"/>
    </row>
    <row r="2554" spans="1:11" ht="43.2" x14ac:dyDescent="0.3">
      <c r="A2554" s="3" t="s">
        <v>5150</v>
      </c>
      <c r="B2554" s="3" t="str">
        <f>"039887068"</f>
        <v>039887068</v>
      </c>
      <c r="C2554" s="3" t="s">
        <v>5151</v>
      </c>
      <c r="D2554" s="3" t="s">
        <v>5152</v>
      </c>
      <c r="E2554" s="3" t="s">
        <v>22</v>
      </c>
      <c r="F2554" s="2">
        <v>44013</v>
      </c>
      <c r="G2554" s="2">
        <v>44119</v>
      </c>
      <c r="H2554" s="4028" t="s">
        <v>17</v>
      </c>
      <c r="I2554" s="3" t="s">
        <v>41</v>
      </c>
      <c r="J2554" s="3" t="s">
        <v>19</v>
      </c>
      <c r="K2554" s="3"/>
    </row>
    <row r="2555" spans="1:11" ht="43.2" x14ac:dyDescent="0.3">
      <c r="A2555" s="3" t="s">
        <v>5150</v>
      </c>
      <c r="B2555" s="3" t="str">
        <f>"039887070"</f>
        <v>039887070</v>
      </c>
      <c r="C2555" s="3" t="s">
        <v>5151</v>
      </c>
      <c r="D2555" s="3" t="s">
        <v>5153</v>
      </c>
      <c r="E2555" s="3" t="s">
        <v>22</v>
      </c>
      <c r="F2555" s="2">
        <v>44013</v>
      </c>
      <c r="G2555" s="2">
        <v>44119</v>
      </c>
      <c r="H2555" s="4029" t="s">
        <v>17</v>
      </c>
      <c r="I2555" s="3" t="s">
        <v>41</v>
      </c>
      <c r="J2555" s="3" t="s">
        <v>19</v>
      </c>
      <c r="K2555" s="3"/>
    </row>
    <row r="2556" spans="1:11" ht="57.6" x14ac:dyDescent="0.3">
      <c r="A2556" s="3" t="s">
        <v>5154</v>
      </c>
      <c r="B2556" s="3" t="str">
        <f>"035263019"</f>
        <v>035263019</v>
      </c>
      <c r="C2556" s="3" t="s">
        <v>5155</v>
      </c>
      <c r="D2556" s="3" t="s">
        <v>5156</v>
      </c>
      <c r="E2556" s="3" t="s">
        <v>1658</v>
      </c>
      <c r="F2556" s="2">
        <v>42369</v>
      </c>
      <c r="G2556" s="2"/>
      <c r="H2556" s="4030" t="s">
        <v>17</v>
      </c>
      <c r="I2556" s="4031" t="s">
        <v>18</v>
      </c>
      <c r="J2556" s="3" t="s">
        <v>19</v>
      </c>
      <c r="K2556" s="3"/>
    </row>
    <row r="2557" spans="1:11" ht="43.2" x14ac:dyDescent="0.3">
      <c r="A2557" s="3" t="s">
        <v>5157</v>
      </c>
      <c r="B2557" s="3" t="str">
        <f>"033248028"</f>
        <v>033248028</v>
      </c>
      <c r="C2557" s="3" t="s">
        <v>5158</v>
      </c>
      <c r="D2557" s="3" t="s">
        <v>5159</v>
      </c>
      <c r="E2557" s="3" t="s">
        <v>207</v>
      </c>
      <c r="F2557" s="2">
        <v>43635</v>
      </c>
      <c r="G2557" s="2"/>
      <c r="H2557" s="4032" t="s">
        <v>37</v>
      </c>
      <c r="I2557" s="4033" t="s">
        <v>18</v>
      </c>
      <c r="J2557" s="3" t="s">
        <v>19</v>
      </c>
      <c r="K2557" s="3"/>
    </row>
    <row r="2558" spans="1:11" ht="43.2" x14ac:dyDescent="0.3">
      <c r="A2558" s="3" t="s">
        <v>5157</v>
      </c>
      <c r="B2558" s="3" t="str">
        <f>"033248081"</f>
        <v>033248081</v>
      </c>
      <c r="C2558" s="3" t="s">
        <v>5158</v>
      </c>
      <c r="D2558" s="3" t="s">
        <v>5160</v>
      </c>
      <c r="E2558" s="3" t="s">
        <v>207</v>
      </c>
      <c r="F2558" s="2">
        <v>43635</v>
      </c>
      <c r="G2558" s="2"/>
      <c r="H2558" s="4034" t="s">
        <v>37</v>
      </c>
      <c r="I2558" s="4035" t="s">
        <v>18</v>
      </c>
      <c r="J2558" s="3" t="s">
        <v>19</v>
      </c>
      <c r="K2558" s="3"/>
    </row>
    <row r="2559" spans="1:11" ht="43.2" x14ac:dyDescent="0.3">
      <c r="A2559" s="3" t="s">
        <v>5161</v>
      </c>
      <c r="B2559" s="3" t="str">
        <f>"025298047"</f>
        <v>025298047</v>
      </c>
      <c r="C2559" s="3" t="s">
        <v>51</v>
      </c>
      <c r="D2559" s="3" t="s">
        <v>5162</v>
      </c>
      <c r="E2559" s="3" t="s">
        <v>604</v>
      </c>
      <c r="F2559" s="2">
        <v>43373</v>
      </c>
      <c r="G2559" s="2"/>
      <c r="H2559" s="4036" t="s">
        <v>17</v>
      </c>
      <c r="I2559" s="4037" t="s">
        <v>18</v>
      </c>
      <c r="J2559" s="3" t="s">
        <v>19</v>
      </c>
      <c r="K2559" s="3"/>
    </row>
    <row r="2560" spans="1:11" ht="57.6" x14ac:dyDescent="0.3">
      <c r="A2560" s="3" t="s">
        <v>5161</v>
      </c>
      <c r="B2560" s="3" t="str">
        <f>"025298136"</f>
        <v>025298136</v>
      </c>
      <c r="C2560" s="3" t="s">
        <v>51</v>
      </c>
      <c r="D2560" s="3" t="s">
        <v>5163</v>
      </c>
      <c r="E2560" s="3" t="s">
        <v>604</v>
      </c>
      <c r="F2560" s="2">
        <v>40935</v>
      </c>
      <c r="G2560" s="2"/>
      <c r="H2560" s="4038" t="s">
        <v>37</v>
      </c>
      <c r="I2560" s="4039" t="s">
        <v>18</v>
      </c>
      <c r="J2560" s="3" t="s">
        <v>156</v>
      </c>
      <c r="K2560" s="3"/>
    </row>
    <row r="2561" spans="1:11" ht="43.2" x14ac:dyDescent="0.3">
      <c r="A2561" s="3" t="s">
        <v>5164</v>
      </c>
      <c r="B2561" s="3" t="str">
        <f>"037868027"</f>
        <v>037868027</v>
      </c>
      <c r="C2561" s="3" t="s">
        <v>51</v>
      </c>
      <c r="D2561" s="3" t="s">
        <v>5165</v>
      </c>
      <c r="E2561" s="3" t="s">
        <v>604</v>
      </c>
      <c r="F2561" s="2">
        <v>42779</v>
      </c>
      <c r="G2561" s="2"/>
      <c r="H2561" s="4040" t="s">
        <v>17</v>
      </c>
      <c r="I2561" s="4041" t="s">
        <v>18</v>
      </c>
      <c r="J2561" s="3" t="s">
        <v>19</v>
      </c>
      <c r="K2561" s="3"/>
    </row>
    <row r="2562" spans="1:11" ht="72" x14ac:dyDescent="0.3">
      <c r="A2562" s="3" t="s">
        <v>5166</v>
      </c>
      <c r="B2562" s="3" t="str">
        <f>"044233017"</f>
        <v>044233017</v>
      </c>
      <c r="C2562" s="3" t="s">
        <v>5167</v>
      </c>
      <c r="D2562" s="3" t="s">
        <v>5168</v>
      </c>
      <c r="E2562" s="3" t="s">
        <v>1658</v>
      </c>
      <c r="F2562" s="2">
        <v>43982</v>
      </c>
      <c r="G2562" s="2"/>
      <c r="H2562" s="4042" t="s">
        <v>17</v>
      </c>
      <c r="I2562" s="4043" t="s">
        <v>18</v>
      </c>
      <c r="J2562" s="3" t="s">
        <v>19</v>
      </c>
      <c r="K2562" s="3"/>
    </row>
    <row r="2563" spans="1:11" ht="43.2" x14ac:dyDescent="0.3">
      <c r="A2563" s="3" t="s">
        <v>5169</v>
      </c>
      <c r="B2563" s="3" t="str">
        <f>"035410048"</f>
        <v>035410048</v>
      </c>
      <c r="C2563" s="3" t="s">
        <v>2822</v>
      </c>
      <c r="D2563" s="3" t="s">
        <v>5170</v>
      </c>
      <c r="E2563" s="3" t="s">
        <v>412</v>
      </c>
      <c r="F2563" s="2">
        <v>41575</v>
      </c>
      <c r="G2563" s="2"/>
      <c r="H2563" s="4044" t="s">
        <v>17</v>
      </c>
      <c r="I2563" s="4045" t="s">
        <v>18</v>
      </c>
      <c r="J2563" s="3" t="s">
        <v>19</v>
      </c>
      <c r="K2563" s="3"/>
    </row>
    <row r="2564" spans="1:11" ht="43.2" x14ac:dyDescent="0.3">
      <c r="A2564" s="3" t="s">
        <v>5169</v>
      </c>
      <c r="B2564" s="3" t="str">
        <f>"035410416"</f>
        <v>035410416</v>
      </c>
      <c r="C2564" s="3" t="s">
        <v>2822</v>
      </c>
      <c r="D2564" s="3" t="s">
        <v>5171</v>
      </c>
      <c r="E2564" s="3" t="s">
        <v>412</v>
      </c>
      <c r="F2564" s="2">
        <v>43909</v>
      </c>
      <c r="G2564" s="2">
        <v>43921</v>
      </c>
      <c r="H2564" s="4046" t="s">
        <v>17</v>
      </c>
      <c r="I2564" s="3" t="s">
        <v>178</v>
      </c>
      <c r="J2564" s="3" t="s">
        <v>19</v>
      </c>
      <c r="K2564" s="3"/>
    </row>
  </sheetData>
  <mergeCells count="2">
    <mergeCell ref="A2:K2"/>
    <mergeCell ref="A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Carenze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Agenzia Italiana del Farmaco</dc:creator>
  <cp:lastModifiedBy>maionec</cp:lastModifiedBy>
  <dcterms:created xsi:type="dcterms:W3CDTF">2020-11-05T16:02:51Z</dcterms:created>
  <dcterms:modified xsi:type="dcterms:W3CDTF">2020-11-05T16:04:53Z</dcterms:modified>
</cp:coreProperties>
</file>